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tamura-y\Desktop\"/>
    </mc:Choice>
  </mc:AlternateContent>
  <xr:revisionPtr revIDLastSave="0" documentId="8_{84DD9534-B226-4DCF-B0BC-50FD0E452F8D}" xr6:coauthVersionLast="47" xr6:coauthVersionMax="47" xr10:uidLastSave="{00000000-0000-0000-0000-000000000000}"/>
  <bookViews>
    <workbookView xWindow="28680" yWindow="-120" windowWidth="29040" windowHeight="15840" xr2:uid="{00000000-000D-0000-FFFF-FFFF00000000}"/>
  </bookViews>
  <sheets>
    <sheet name="表計算ツール入力例" sheetId="24" r:id="rId1"/>
    <sheet name="表計算ツール（平屋建て）" sheetId="22" r:id="rId2"/>
    <sheet name="表計算ツール（2階建て）" sheetId="10" r:id="rId3"/>
    <sheet name="更新履歴" sheetId="17" r:id="rId4"/>
    <sheet name="柱の圧縮基準強度" sheetId="14" state="hidden" r:id="rId5"/>
    <sheet name="表計算ツールの解説・注意事項" sheetId="13" r:id="rId6"/>
  </sheets>
  <definedNames>
    <definedName name="JASA種構造用単板積層材">柱の圧縮基準強度!$M$2</definedName>
    <definedName name="JAS機械等級区分構造用製材">柱の圧縮基準強度!$I$2:$I$11</definedName>
    <definedName name="JAS同一等級構成集成材">柱の圧縮基準強度!$L$2</definedName>
    <definedName name="JAS目視等級区分構造用製材">柱の圧縮基準強度!$J$2:$J$11</definedName>
    <definedName name="LVL">柱の圧縮基準強度!$M$29:$M$61</definedName>
    <definedName name="_xlnm.Print_Area" localSheetId="2">'表計算ツール（2階建て）'!$A$1:$AG$98</definedName>
    <definedName name="_xlnm.Print_Area" localSheetId="1">'表計算ツール（平屋建て）'!$A$1:$AG$85</definedName>
    <definedName name="_xlnm.Print_Area" localSheetId="5">表計算ツールの解説・注意事項!$A$1:$J$291</definedName>
    <definedName name="_xlnm.Print_Area" localSheetId="0">表計算ツール入力例!$A$1:$AG$101</definedName>
    <definedName name="機械">柱の圧縮基準強度!$I$29:$I$34</definedName>
    <definedName name="集成材">柱の圧縮基準強度!$L$29:$L$61</definedName>
    <definedName name="無等級">柱の圧縮基準強度!$K$29</definedName>
    <definedName name="無等級材">柱の圧縮基準強度!$K$2:$K$26</definedName>
    <definedName name="目視">柱の圧縮基準強度!$J$29:$J$31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24" l="1"/>
  <c r="Z9" i="22"/>
  <c r="Z9" i="10"/>
  <c r="AC76" i="22"/>
  <c r="AC74" i="22"/>
  <c r="AB76" i="22"/>
  <c r="AB74" i="22"/>
  <c r="AA76" i="22"/>
  <c r="AA75" i="22"/>
  <c r="AA74" i="22"/>
  <c r="Z76" i="22"/>
  <c r="Z74" i="22"/>
  <c r="Z73" i="22"/>
  <c r="AD65" i="22"/>
  <c r="AC65" i="22"/>
  <c r="AB53" i="22"/>
  <c r="AC53" i="22"/>
  <c r="F57" i="22"/>
  <c r="H43" i="22"/>
  <c r="AB50" i="22"/>
  <c r="O79" i="22"/>
  <c r="K21" i="24"/>
  <c r="AD99" i="24"/>
  <c r="AD98" i="24"/>
  <c r="AD97" i="24"/>
  <c r="U97" i="24"/>
  <c r="Q97" i="24"/>
  <c r="O97" i="24"/>
  <c r="AD96" i="24"/>
  <c r="M96" i="24"/>
  <c r="AD95" i="24"/>
  <c r="M95" i="24"/>
  <c r="AD94" i="24"/>
  <c r="U94" i="24"/>
  <c r="Q94" i="24"/>
  <c r="O94" i="24"/>
  <c r="AD93" i="24"/>
  <c r="M93" i="24"/>
  <c r="AD92" i="24"/>
  <c r="M92" i="24"/>
  <c r="AD91" i="24"/>
  <c r="AC91" i="24"/>
  <c r="U89" i="24" s="1"/>
  <c r="U91" i="24"/>
  <c r="Q91" i="24"/>
  <c r="O91" i="24"/>
  <c r="AD90" i="24"/>
  <c r="M90" i="24"/>
  <c r="AD89" i="24"/>
  <c r="M89" i="24"/>
  <c r="AD88" i="24"/>
  <c r="U88" i="24"/>
  <c r="Q88" i="24"/>
  <c r="O88" i="24"/>
  <c r="U87" i="24"/>
  <c r="M87" i="24"/>
  <c r="AC86" i="24"/>
  <c r="AC94" i="24" s="1"/>
  <c r="U92" i="24" s="1"/>
  <c r="AB86" i="24"/>
  <c r="AA86" i="24"/>
  <c r="Z86" i="24"/>
  <c r="M86" i="24"/>
  <c r="AC84" i="24"/>
  <c r="AC85" i="24" s="1"/>
  <c r="AB84" i="24"/>
  <c r="AB85" i="24" s="1"/>
  <c r="Z84" i="24"/>
  <c r="Z85" i="24" s="1"/>
  <c r="AC83" i="24"/>
  <c r="AB83" i="24"/>
  <c r="AA83" i="24"/>
  <c r="AA84" i="24" s="1"/>
  <c r="AA85" i="24" s="1"/>
  <c r="Z83" i="24"/>
  <c r="AC82" i="24"/>
  <c r="AC89" i="24" s="1"/>
  <c r="AB82" i="24"/>
  <c r="AA82" i="24"/>
  <c r="Z82" i="24"/>
  <c r="AC80" i="24"/>
  <c r="AC81" i="24" s="1"/>
  <c r="Z80" i="24"/>
  <c r="Z81" i="24" s="1"/>
  <c r="AC79" i="24"/>
  <c r="AB79" i="24"/>
  <c r="AB80" i="24" s="1"/>
  <c r="AB81" i="24" s="1"/>
  <c r="AA79" i="24"/>
  <c r="AA80" i="24" s="1"/>
  <c r="AA81" i="24" s="1"/>
  <c r="Z79" i="24"/>
  <c r="AE76" i="24"/>
  <c r="AD76" i="24"/>
  <c r="T76" i="24"/>
  <c r="AE75" i="24"/>
  <c r="AD75" i="24"/>
  <c r="AA75" i="24"/>
  <c r="Q75" i="24"/>
  <c r="AE74" i="24"/>
  <c r="AD74" i="24"/>
  <c r="AA74" i="24"/>
  <c r="Q74" i="24"/>
  <c r="AE73" i="24"/>
  <c r="AD73" i="24"/>
  <c r="AA73" i="24"/>
  <c r="Q73" i="24"/>
  <c r="AE72" i="24"/>
  <c r="T72" i="24"/>
  <c r="AE71" i="24"/>
  <c r="Q71" i="24"/>
  <c r="AE70" i="24"/>
  <c r="Q70" i="24"/>
  <c r="AE69" i="24"/>
  <c r="Q69" i="24"/>
  <c r="AC60" i="24"/>
  <c r="Z60" i="24"/>
  <c r="AE56" i="24"/>
  <c r="AD56" i="24"/>
  <c r="AA76" i="24" s="1"/>
  <c r="AC56" i="24"/>
  <c r="AE55" i="24"/>
  <c r="AD55" i="24"/>
  <c r="Z72" i="24" s="1"/>
  <c r="B52" i="24"/>
  <c r="L47" i="24"/>
  <c r="F47" i="24"/>
  <c r="F46" i="24"/>
  <c r="F45" i="24"/>
  <c r="F44" i="24" s="1"/>
  <c r="Z38" i="24"/>
  <c r="Q37" i="24"/>
  <c r="P33" i="24"/>
  <c r="AE32" i="24"/>
  <c r="R29" i="24"/>
  <c r="AE26" i="24"/>
  <c r="AB36" i="24" s="1"/>
  <c r="AD26" i="24"/>
  <c r="AB38" i="24" s="1"/>
  <c r="AB56" i="24" s="1"/>
  <c r="O26" i="24"/>
  <c r="AE25" i="24"/>
  <c r="AD25" i="24"/>
  <c r="Z25" i="24"/>
  <c r="AE24" i="24"/>
  <c r="AD24" i="24"/>
  <c r="AE23" i="24"/>
  <c r="AD23" i="24"/>
  <c r="AE22" i="24"/>
  <c r="AD22" i="24"/>
  <c r="K22" i="24"/>
  <c r="C22" i="24"/>
  <c r="AE21" i="24"/>
  <c r="AD21" i="24"/>
  <c r="C21" i="24"/>
  <c r="AE20" i="24"/>
  <c r="AD20" i="24"/>
  <c r="K20" i="24"/>
  <c r="C20" i="24"/>
  <c r="AE19" i="24"/>
  <c r="AD19" i="24"/>
  <c r="C18" i="24"/>
  <c r="AE7" i="24" s="1"/>
  <c r="AA16" i="24"/>
  <c r="AB37" i="24" s="1"/>
  <c r="AA14" i="24"/>
  <c r="AE13" i="24"/>
  <c r="Z40" i="24" s="1"/>
  <c r="AE12" i="24"/>
  <c r="Z12" i="24"/>
  <c r="AE11" i="24"/>
  <c r="W11" i="24"/>
  <c r="A10" i="24"/>
  <c r="AE9" i="24"/>
  <c r="AE8" i="24"/>
  <c r="Z5" i="24"/>
  <c r="L5" i="24"/>
  <c r="AB2" i="24"/>
  <c r="Z2" i="24"/>
  <c r="Z8" i="24" s="1"/>
  <c r="AB97" i="24" l="1"/>
  <c r="S95" i="24" s="1"/>
  <c r="AB94" i="24"/>
  <c r="S92" i="24" s="1"/>
  <c r="AB95" i="24"/>
  <c r="S93" i="24" s="1"/>
  <c r="AB92" i="24"/>
  <c r="S90" i="24" s="1"/>
  <c r="AB96" i="24"/>
  <c r="S94" i="24" s="1"/>
  <c r="AB98" i="24"/>
  <c r="S96" i="24" s="1"/>
  <c r="Z37" i="24"/>
  <c r="Z6" i="24"/>
  <c r="Z69" i="24"/>
  <c r="Z70" i="24"/>
  <c r="Z71" i="24"/>
  <c r="AA72" i="24"/>
  <c r="AB90" i="24"/>
  <c r="S88" i="24" s="1"/>
  <c r="Y60" i="24"/>
  <c r="AA69" i="24"/>
  <c r="AA70" i="24"/>
  <c r="AA71" i="24"/>
  <c r="AC90" i="24"/>
  <c r="AB91" i="24"/>
  <c r="S89" i="24" s="1"/>
  <c r="AC95" i="24"/>
  <c r="U93" i="24" s="1"/>
  <c r="AC98" i="24"/>
  <c r="U96" i="24" s="1"/>
  <c r="AD72" i="24"/>
  <c r="AF6" i="24"/>
  <c r="K18" i="24"/>
  <c r="Z39" i="24"/>
  <c r="AD69" i="24"/>
  <c r="AD70" i="24"/>
  <c r="AD71" i="24"/>
  <c r="AB88" i="24"/>
  <c r="S86" i="24" s="1"/>
  <c r="AC92" i="24"/>
  <c r="U90" i="24" s="1"/>
  <c r="AC97" i="24"/>
  <c r="U95" i="24" s="1"/>
  <c r="AC88" i="24"/>
  <c r="U86" i="24" s="1"/>
  <c r="AB93" i="24"/>
  <c r="S91" i="24" s="1"/>
  <c r="AB99" i="24"/>
  <c r="S97" i="24" s="1"/>
  <c r="AE6" i="24"/>
  <c r="Z36" i="24"/>
  <c r="Z59" i="24"/>
  <c r="AC96" i="24"/>
  <c r="Z7" i="24"/>
  <c r="AB34" i="24" s="1"/>
  <c r="AC59" i="24"/>
  <c r="Z76" i="24"/>
  <c r="AB89" i="24"/>
  <c r="S87" i="24" s="1"/>
  <c r="AC93" i="24"/>
  <c r="AC99" i="24"/>
  <c r="Z35" i="24"/>
  <c r="Y59" i="24"/>
  <c r="Z4" i="24"/>
  <c r="Z73" i="24"/>
  <c r="Z74" i="24"/>
  <c r="Z75" i="24"/>
  <c r="Z34" i="24" l="1"/>
  <c r="Z44" i="24"/>
  <c r="AE39" i="24" s="1"/>
  <c r="Z43" i="24"/>
  <c r="Z41" i="24"/>
  <c r="Z42" i="24"/>
  <c r="AE38" i="24" s="1"/>
  <c r="H45" i="24" s="1"/>
  <c r="AA55" i="24"/>
  <c r="AB42" i="24"/>
  <c r="Z56" i="24"/>
  <c r="Z55" i="24"/>
  <c r="AB41" i="24"/>
  <c r="AA56" i="24"/>
  <c r="AF39" i="24" l="1"/>
  <c r="AF41" i="24" s="1"/>
  <c r="J47" i="24" s="1"/>
  <c r="AA60" i="24"/>
  <c r="AB60" i="24" s="1"/>
  <c r="F60" i="24" s="1"/>
  <c r="D60" i="24" s="1"/>
  <c r="AB75" i="24"/>
  <c r="AC75" i="24" s="1"/>
  <c r="T75" i="24" s="1"/>
  <c r="AB74" i="24"/>
  <c r="AC74" i="24" s="1"/>
  <c r="T74" i="24" s="1"/>
  <c r="AB73" i="24"/>
  <c r="AC73" i="24" s="1"/>
  <c r="T73" i="24" s="1"/>
  <c r="AB76" i="24"/>
  <c r="AC76" i="24" s="1"/>
  <c r="AA96" i="24"/>
  <c r="Z94" i="24"/>
  <c r="O92" i="24" s="1"/>
  <c r="AA94" i="24"/>
  <c r="Q92" i="24" s="1"/>
  <c r="Z96" i="24"/>
  <c r="Z95" i="24"/>
  <c r="O93" i="24" s="1"/>
  <c r="AA95" i="24"/>
  <c r="Q93" i="24" s="1"/>
  <c r="AA93" i="24"/>
  <c r="Z91" i="24"/>
  <c r="O89" i="24" s="1"/>
  <c r="AA91" i="24"/>
  <c r="Q89" i="24" s="1"/>
  <c r="Z93" i="24"/>
  <c r="Z92" i="24"/>
  <c r="O90" i="24" s="1"/>
  <c r="AA92" i="24"/>
  <c r="Q90" i="24" s="1"/>
  <c r="AF38" i="24"/>
  <c r="J45" i="24" s="1"/>
  <c r="Z99" i="24"/>
  <c r="Z97" i="24"/>
  <c r="O95" i="24" s="1"/>
  <c r="AA97" i="24"/>
  <c r="Q95" i="24" s="1"/>
  <c r="AA99" i="24"/>
  <c r="Z98" i="24"/>
  <c r="O96" i="24" s="1"/>
  <c r="AA98" i="24"/>
  <c r="Q96" i="24" s="1"/>
  <c r="AB70" i="24"/>
  <c r="AC70" i="24" s="1"/>
  <c r="T70" i="24" s="1"/>
  <c r="AB69" i="24"/>
  <c r="AC69" i="24" s="1"/>
  <c r="T69" i="24" s="1"/>
  <c r="AB71" i="24"/>
  <c r="AC71" i="24" s="1"/>
  <c r="T71" i="24" s="1"/>
  <c r="AA59" i="24"/>
  <c r="AB59" i="24" s="1"/>
  <c r="F59" i="24" s="1"/>
  <c r="D59" i="24" s="1"/>
  <c r="AB72" i="24"/>
  <c r="AC72" i="24" s="1"/>
  <c r="AA88" i="24"/>
  <c r="Q86" i="24" s="1"/>
  <c r="Z90" i="24"/>
  <c r="Z88" i="24"/>
  <c r="O86" i="24" s="1"/>
  <c r="AA90" i="24"/>
  <c r="Z89" i="24"/>
  <c r="O87" i="24" s="1"/>
  <c r="AA89" i="24"/>
  <c r="Q87" i="24" s="1"/>
  <c r="AE40" i="24"/>
  <c r="H46" i="24" s="1"/>
  <c r="AE41" i="24"/>
  <c r="H47" i="24" s="1"/>
  <c r="AF40" i="24" l="1"/>
  <c r="J46" i="24" s="1"/>
  <c r="O26" i="10" l="1"/>
  <c r="O24" i="22"/>
  <c r="AE29" i="22"/>
  <c r="C20" i="22"/>
  <c r="K20" i="22" s="1"/>
  <c r="C21" i="10"/>
  <c r="K21" i="10" s="1"/>
  <c r="B50" i="22" l="1"/>
  <c r="J45" i="22"/>
  <c r="Z12" i="22"/>
  <c r="B52" i="10" l="1"/>
  <c r="L47" i="10"/>
  <c r="Z12" i="10"/>
  <c r="Z5" i="10"/>
  <c r="L5" i="22" l="1"/>
  <c r="AD89" i="10" l="1"/>
  <c r="AD90" i="10"/>
  <c r="AD91" i="10"/>
  <c r="AD92" i="10"/>
  <c r="AD93" i="10"/>
  <c r="AD94" i="10"/>
  <c r="AD95" i="10"/>
  <c r="AD96" i="10"/>
  <c r="AD97" i="10"/>
  <c r="AD98" i="10"/>
  <c r="AD99" i="10"/>
  <c r="AD88" i="10"/>
  <c r="M87" i="10"/>
  <c r="M86" i="10"/>
  <c r="Q71" i="10"/>
  <c r="AE76" i="10"/>
  <c r="AE75" i="10"/>
  <c r="AE74" i="10"/>
  <c r="AE73" i="10"/>
  <c r="AE72" i="10"/>
  <c r="AE71" i="10"/>
  <c r="AE70" i="10"/>
  <c r="AE69" i="10"/>
  <c r="L5" i="10"/>
  <c r="AE32" i="10" l="1"/>
  <c r="F45" i="22" l="1"/>
  <c r="F47" i="10" l="1"/>
  <c r="C22" i="10" l="1"/>
  <c r="K22" i="10" s="1"/>
  <c r="AE67" i="22" l="1"/>
  <c r="AD20" i="22" l="1"/>
  <c r="AD19" i="22"/>
  <c r="Z25" i="22"/>
  <c r="Z5" i="22"/>
  <c r="AD82" i="22"/>
  <c r="AD81" i="22"/>
  <c r="AD79" i="22"/>
  <c r="AD78" i="22"/>
  <c r="AC79" i="22"/>
  <c r="U80" i="22" s="1"/>
  <c r="AC73" i="22"/>
  <c r="AC75" i="22" s="1"/>
  <c r="AB73" i="22"/>
  <c r="AB75" i="22" s="1"/>
  <c r="AA73" i="22"/>
  <c r="Z75" i="22"/>
  <c r="Z78" i="22" s="1"/>
  <c r="AE66" i="22"/>
  <c r="AE65" i="22"/>
  <c r="AC50" i="22"/>
  <c r="F44" i="22"/>
  <c r="F43" i="22"/>
  <c r="F42" i="22" s="1"/>
  <c r="Q35" i="22"/>
  <c r="P31" i="22"/>
  <c r="R27" i="22"/>
  <c r="AD26" i="22"/>
  <c r="AD24" i="22"/>
  <c r="AD23" i="22"/>
  <c r="AD22" i="22"/>
  <c r="AD21" i="22"/>
  <c r="C21" i="22"/>
  <c r="K21" i="22" s="1"/>
  <c r="C19" i="22"/>
  <c r="K19" i="22" s="1"/>
  <c r="C17" i="22"/>
  <c r="K17" i="22" s="1"/>
  <c r="AA16" i="22"/>
  <c r="AA14" i="22"/>
  <c r="W11" i="22"/>
  <c r="AB2" i="22"/>
  <c r="Z2" i="22"/>
  <c r="Z4" i="22" s="1"/>
  <c r="AE13" i="10"/>
  <c r="Z39" i="10" l="1"/>
  <c r="A10" i="22"/>
  <c r="Z35" i="22"/>
  <c r="AE12" i="22"/>
  <c r="AE9" i="22"/>
  <c r="AE8" i="22"/>
  <c r="AE7" i="22"/>
  <c r="AF6" i="22"/>
  <c r="Z6" i="22"/>
  <c r="Z7" i="22"/>
  <c r="Z36" i="22"/>
  <c r="AA68" i="22"/>
  <c r="AD68" i="22"/>
  <c r="Z66" i="22"/>
  <c r="AE6" i="22"/>
  <c r="Z53" i="22"/>
  <c r="Z65" i="22"/>
  <c r="AE11" i="22"/>
  <c r="AA66" i="22"/>
  <c r="Z68" i="22"/>
  <c r="AA65" i="22"/>
  <c r="AC81" i="22"/>
  <c r="U82" i="22" s="1"/>
  <c r="Z67" i="22"/>
  <c r="AA67" i="22"/>
  <c r="Y53" i="22"/>
  <c r="AC80" i="22"/>
  <c r="U81" i="22" s="1"/>
  <c r="AC83" i="22"/>
  <c r="U84" i="22" s="1"/>
  <c r="AD66" i="22"/>
  <c r="AD67" i="22"/>
  <c r="Z8" i="22"/>
  <c r="AD25" i="22"/>
  <c r="AC78" i="22"/>
  <c r="U79" i="22" s="1"/>
  <c r="AC82" i="22"/>
  <c r="U83" i="22" s="1"/>
  <c r="AB36" i="22"/>
  <c r="Z38" i="22" l="1"/>
  <c r="AE35" i="22" s="1"/>
  <c r="AB34" i="22"/>
  <c r="Z34" i="22"/>
  <c r="Z37" i="22" s="1"/>
  <c r="AE34" i="22" s="1"/>
  <c r="AE37" i="22" l="1"/>
  <c r="AE36" i="22"/>
  <c r="AA50" i="22"/>
  <c r="Z50" i="22"/>
  <c r="AB37" i="22"/>
  <c r="C20" i="10"/>
  <c r="K20" i="10" s="1"/>
  <c r="AD26" i="10"/>
  <c r="AD24" i="10"/>
  <c r="AD20" i="10"/>
  <c r="AD19" i="10"/>
  <c r="AA16" i="10"/>
  <c r="AB37" i="10" s="1"/>
  <c r="AA14" i="10"/>
  <c r="Z37" i="10" s="1"/>
  <c r="Z2" i="10"/>
  <c r="F46" i="10"/>
  <c r="F45" i="10"/>
  <c r="F44" i="10" s="1"/>
  <c r="Z25" i="10"/>
  <c r="AD25" i="10" s="1"/>
  <c r="W11" i="10"/>
  <c r="A10" i="10" s="1"/>
  <c r="C18" i="10"/>
  <c r="K18" i="10" s="1"/>
  <c r="R29" i="10"/>
  <c r="Z6" i="10" l="1"/>
  <c r="Z4" i="10"/>
  <c r="Z40" i="10"/>
  <c r="AE9" i="10"/>
  <c r="AE7" i="10"/>
  <c r="AE8" i="10"/>
  <c r="AE12" i="10"/>
  <c r="AF6" i="10"/>
  <c r="Z8" i="10"/>
  <c r="AB80" i="22"/>
  <c r="S81" i="22" s="1"/>
  <c r="AA83" i="22"/>
  <c r="Q84" i="22" s="1"/>
  <c r="AB83" i="22"/>
  <c r="S84" i="22" s="1"/>
  <c r="Z7" i="10"/>
  <c r="AB68" i="22"/>
  <c r="AC68" i="22" s="1"/>
  <c r="T69" i="22" s="1"/>
  <c r="Z83" i="22"/>
  <c r="O84" i="22" s="1"/>
  <c r="AA80" i="22"/>
  <c r="Q81" i="22" s="1"/>
  <c r="AA53" i="22"/>
  <c r="D57" i="22" s="1"/>
  <c r="Z80" i="22"/>
  <c r="O81" i="22" s="1"/>
  <c r="AE11" i="10"/>
  <c r="AE6" i="10"/>
  <c r="Z35" i="10" l="1"/>
  <c r="Z34" i="10"/>
  <c r="AB34" i="10"/>
  <c r="H45" i="22"/>
  <c r="H44" i="22"/>
  <c r="AE22" i="10"/>
  <c r="P33" i="10" l="1"/>
  <c r="Q37" i="10"/>
  <c r="AB2" i="10" l="1"/>
  <c r="AB79" i="10" l="1"/>
  <c r="AB80" i="10" s="1"/>
  <c r="AB81" i="10" s="1"/>
  <c r="AE56" i="10" l="1"/>
  <c r="AE55" i="10"/>
  <c r="AD56" i="10"/>
  <c r="AC86" i="10"/>
  <c r="AB86" i="10"/>
  <c r="AA86" i="10"/>
  <c r="Z86" i="10"/>
  <c r="AA82" i="10"/>
  <c r="Z82" i="10"/>
  <c r="AC82" i="10"/>
  <c r="AB82" i="10"/>
  <c r="AB88" i="10" s="1"/>
  <c r="AC79" i="10" l="1"/>
  <c r="AC83" i="10"/>
  <c r="AB83" i="10"/>
  <c r="AB84" i="10" s="1"/>
  <c r="AA83" i="10"/>
  <c r="AA84" i="10" s="1"/>
  <c r="AC84" i="10" l="1"/>
  <c r="AC85" i="10" s="1"/>
  <c r="AC80" i="10"/>
  <c r="AC81" i="10" s="1"/>
  <c r="AD55" i="10"/>
  <c r="Z71" i="10" l="1"/>
  <c r="Y59" i="10"/>
  <c r="AD73" i="10"/>
  <c r="Z73" i="10"/>
  <c r="AA74" i="10"/>
  <c r="AD72" i="10"/>
  <c r="Z70" i="10"/>
  <c r="Z72" i="10"/>
  <c r="AA75" i="10"/>
  <c r="Z76" i="10"/>
  <c r="AD76" i="10"/>
  <c r="Z59" i="10"/>
  <c r="AA72" i="10"/>
  <c r="AD69" i="10"/>
  <c r="Z60" i="10"/>
  <c r="AD74" i="10"/>
  <c r="AA70" i="10"/>
  <c r="AA69" i="10"/>
  <c r="AA76" i="10"/>
  <c r="AD70" i="10"/>
  <c r="Z69" i="10"/>
  <c r="AD75" i="10"/>
  <c r="Y60" i="10"/>
  <c r="AA71" i="10"/>
  <c r="AC59" i="10"/>
  <c r="Z74" i="10"/>
  <c r="AD71" i="10"/>
  <c r="Z75" i="10"/>
  <c r="AA73" i="10"/>
  <c r="AC60" i="10"/>
  <c r="A156" i="14" l="1"/>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55"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18" i="14"/>
  <c r="A94" i="14"/>
  <c r="A95" i="14"/>
  <c r="A96" i="14"/>
  <c r="A97" i="14"/>
  <c r="A98" i="14"/>
  <c r="A99" i="14"/>
  <c r="A100" i="14"/>
  <c r="A101" i="14"/>
  <c r="A102" i="14"/>
  <c r="A103" i="14"/>
  <c r="A104" i="14"/>
  <c r="A105" i="14"/>
  <c r="A106" i="14"/>
  <c r="A107" i="14"/>
  <c r="A108" i="14"/>
  <c r="A109" i="14"/>
  <c r="A110" i="14"/>
  <c r="A111" i="14"/>
  <c r="A112" i="14"/>
  <c r="A113" i="14"/>
  <c r="A114" i="14"/>
  <c r="A93"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62"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4" i="14"/>
  <c r="F132" i="13"/>
  <c r="F131" i="13"/>
  <c r="F130" i="13"/>
  <c r="F129" i="13"/>
  <c r="F128" i="13"/>
  <c r="F127" i="13"/>
  <c r="AE26" i="10"/>
  <c r="AE24" i="10"/>
  <c r="AE23" i="10"/>
  <c r="AE21" i="10"/>
  <c r="AE20" i="10"/>
  <c r="AE19" i="10"/>
  <c r="AD23" i="10"/>
  <c r="AD22" i="10"/>
  <c r="AD21" i="10"/>
  <c r="Z79" i="10"/>
  <c r="Z80" i="10" s="1"/>
  <c r="Z81" i="10" s="1"/>
  <c r="Z83" i="10"/>
  <c r="AA79" i="10"/>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29" i="14"/>
  <c r="L44" i="14"/>
  <c r="L45" i="14"/>
  <c r="L46" i="14"/>
  <c r="L47" i="14"/>
  <c r="L48" i="14"/>
  <c r="L49" i="14"/>
  <c r="L50" i="14"/>
  <c r="L51" i="14"/>
  <c r="L52" i="14"/>
  <c r="L53" i="14"/>
  <c r="L54" i="14"/>
  <c r="L55" i="14"/>
  <c r="L56" i="14"/>
  <c r="L57" i="14"/>
  <c r="L58" i="14"/>
  <c r="L59" i="14"/>
  <c r="L60" i="14"/>
  <c r="L61" i="14"/>
  <c r="L34" i="14"/>
  <c r="L35" i="14"/>
  <c r="L36" i="14"/>
  <c r="L37" i="14"/>
  <c r="L38" i="14"/>
  <c r="L39" i="14"/>
  <c r="L40" i="14"/>
  <c r="L41" i="14"/>
  <c r="L42" i="14"/>
  <c r="L43" i="14"/>
  <c r="L30" i="14"/>
  <c r="L31" i="14"/>
  <c r="L32" i="14"/>
  <c r="L33" i="14"/>
  <c r="L29" i="14"/>
  <c r="L62" i="14"/>
  <c r="L63" i="14"/>
  <c r="Z38" i="10" l="1"/>
  <c r="AB38" i="10"/>
  <c r="Q75" i="10"/>
  <c r="Q74" i="10"/>
  <c r="Q73" i="10"/>
  <c r="Q69" i="10"/>
  <c r="Q70" i="10"/>
  <c r="AB36" i="10"/>
  <c r="AB41" i="10" s="1"/>
  <c r="Z36" i="10"/>
  <c r="Q66" i="22"/>
  <c r="AB65" i="22" s="1"/>
  <c r="T66" i="22" s="1"/>
  <c r="M80" i="22"/>
  <c r="M79" i="22"/>
  <c r="Q68" i="22"/>
  <c r="AB67" i="22" s="1"/>
  <c r="AC67" i="22" s="1"/>
  <c r="T68" i="22" s="1"/>
  <c r="M82" i="22"/>
  <c r="M83" i="22"/>
  <c r="Q67" i="22"/>
  <c r="AB66" i="22" s="1"/>
  <c r="AC66" i="22" s="1"/>
  <c r="T67" i="22" s="1"/>
  <c r="Z84" i="10"/>
  <c r="Z85" i="10" s="1"/>
  <c r="AA80" i="10"/>
  <c r="AA81" i="10" s="1"/>
  <c r="AA85" i="10"/>
  <c r="AB85" i="10"/>
  <c r="M92" i="10"/>
  <c r="M96" i="10"/>
  <c r="M93" i="10"/>
  <c r="M89" i="10"/>
  <c r="M90" i="10"/>
  <c r="M95" i="10"/>
  <c r="AE25" i="10"/>
  <c r="AB42" i="10" l="1"/>
  <c r="Z55" i="10"/>
  <c r="Z88" i="10" s="1"/>
  <c r="Z41" i="10"/>
  <c r="Z42" i="10"/>
  <c r="AE38" i="10" s="1"/>
  <c r="Z44" i="10"/>
  <c r="AE39" i="10" s="1"/>
  <c r="Z43" i="10"/>
  <c r="AB78" i="22"/>
  <c r="S79" i="22" s="1"/>
  <c r="AA78" i="22"/>
  <c r="Q79" i="22" s="1"/>
  <c r="AB79" i="22"/>
  <c r="S80" i="22" s="1"/>
  <c r="AA79" i="22"/>
  <c r="Q80" i="22" s="1"/>
  <c r="Z79" i="22"/>
  <c r="O80" i="22" s="1"/>
  <c r="Z82" i="22"/>
  <c r="O83" i="22" s="1"/>
  <c r="AB82" i="22"/>
  <c r="S83" i="22" s="1"/>
  <c r="AA82" i="22"/>
  <c r="Q83" i="22" s="1"/>
  <c r="Z81" i="22"/>
  <c r="O82" i="22" s="1"/>
  <c r="AB81" i="22"/>
  <c r="S82" i="22" s="1"/>
  <c r="AA81" i="22"/>
  <c r="Q82" i="22" s="1"/>
  <c r="O86" i="10"/>
  <c r="AA56" i="10"/>
  <c r="Z97" i="10" s="1"/>
  <c r="AB56" i="10"/>
  <c r="AC56" i="10"/>
  <c r="AA55" i="10"/>
  <c r="AF39" i="10" l="1"/>
  <c r="AF41" i="10" s="1"/>
  <c r="AE41" i="10"/>
  <c r="AE40" i="10"/>
  <c r="AF38" i="10"/>
  <c r="H45" i="10"/>
  <c r="AC93" i="10"/>
  <c r="Z91" i="10"/>
  <c r="O89" i="10" s="1"/>
  <c r="AB94" i="10"/>
  <c r="S92" i="10" s="1"/>
  <c r="Z56" i="10"/>
  <c r="S86" i="10"/>
  <c r="AC95" i="10"/>
  <c r="U93" i="10" s="1"/>
  <c r="AA97" i="10"/>
  <c r="Q95" i="10" s="1"/>
  <c r="Z98" i="10"/>
  <c r="O96" i="10" s="1"/>
  <c r="AC97" i="10"/>
  <c r="U95" i="10" s="1"/>
  <c r="AB97" i="10"/>
  <c r="S95" i="10" s="1"/>
  <c r="AC89" i="10"/>
  <c r="AC88" i="10"/>
  <c r="U86" i="10" s="1"/>
  <c r="AC94" i="10"/>
  <c r="U92" i="10" s="1"/>
  <c r="AA98" i="10"/>
  <c r="Q96" i="10" s="1"/>
  <c r="Z99" i="10"/>
  <c r="O97" i="10" s="1"/>
  <c r="AA99" i="10"/>
  <c r="Q97" i="10" s="1"/>
  <c r="AB99" i="10"/>
  <c r="S97" i="10" s="1"/>
  <c r="AC99" i="10"/>
  <c r="U97" i="10" s="1"/>
  <c r="AC98" i="10"/>
  <c r="U96" i="10" s="1"/>
  <c r="O95" i="10"/>
  <c r="AB98" i="10"/>
  <c r="S96" i="10" s="1"/>
  <c r="AC90" i="10"/>
  <c r="U88" i="10" s="1"/>
  <c r="AC96" i="10"/>
  <c r="U94" i="10" s="1"/>
  <c r="AB96" i="10"/>
  <c r="S94" i="10" s="1"/>
  <c r="U91" i="10"/>
  <c r="AC92" i="10"/>
  <c r="U90" i="10" s="1"/>
  <c r="AC91" i="10"/>
  <c r="U89" i="10" s="1"/>
  <c r="Z93" i="10"/>
  <c r="O91" i="10" s="1"/>
  <c r="AB93" i="10"/>
  <c r="S91" i="10" s="1"/>
  <c r="AA93" i="10"/>
  <c r="Q91" i="10" s="1"/>
  <c r="AA92" i="10"/>
  <c r="Q90" i="10" s="1"/>
  <c r="AB92" i="10"/>
  <c r="S90" i="10" s="1"/>
  <c r="AB91" i="10"/>
  <c r="S89" i="10" s="1"/>
  <c r="AA91" i="10"/>
  <c r="Q89" i="10" s="1"/>
  <c r="Z92" i="10"/>
  <c r="O90" i="10" s="1"/>
  <c r="AB89" i="10"/>
  <c r="AB90" i="10"/>
  <c r="S88" i="10" s="1"/>
  <c r="AB95" i="10"/>
  <c r="S93" i="10" s="1"/>
  <c r="AF40" i="10" l="1"/>
  <c r="J46" i="10" s="1"/>
  <c r="H47" i="10"/>
  <c r="H46" i="10"/>
  <c r="J47" i="10"/>
  <c r="J45" i="10"/>
  <c r="AA89" i="10"/>
  <c r="Q87" i="10" s="1"/>
  <c r="Z94" i="10"/>
  <c r="O92" i="10" s="1"/>
  <c r="AA94" i="10"/>
  <c r="Q92" i="10" s="1"/>
  <c r="AA95" i="10"/>
  <c r="Q93" i="10" s="1"/>
  <c r="AB76" i="10"/>
  <c r="AC76" i="10" s="1"/>
  <c r="T76" i="10" s="1"/>
  <c r="AA59" i="10"/>
  <c r="AB59" i="10" s="1"/>
  <c r="AB74" i="10"/>
  <c r="AC74" i="10" s="1"/>
  <c r="T74" i="10" s="1"/>
  <c r="AB73" i="10"/>
  <c r="AC73" i="10" s="1"/>
  <c r="AB75" i="10"/>
  <c r="AC75" i="10" s="1"/>
  <c r="T75" i="10" s="1"/>
  <c r="AA60" i="10"/>
  <c r="AB60" i="10" s="1"/>
  <c r="F60" i="10" s="1"/>
  <c r="D60" i="10" s="1"/>
  <c r="Z95" i="10"/>
  <c r="O93" i="10" s="1"/>
  <c r="Z96" i="10"/>
  <c r="O94" i="10" s="1"/>
  <c r="AA96" i="10"/>
  <c r="Q94" i="10" s="1"/>
  <c r="Z89" i="10"/>
  <c r="O87" i="10" s="1"/>
  <c r="AB72" i="10"/>
  <c r="AC72" i="10" s="1"/>
  <c r="T72" i="10" s="1"/>
  <c r="AA90" i="10"/>
  <c r="Q88" i="10" s="1"/>
  <c r="AA88" i="10"/>
  <c r="Q86" i="10" s="1"/>
  <c r="AB70" i="10"/>
  <c r="AC70" i="10" s="1"/>
  <c r="T70" i="10" s="1"/>
  <c r="Z90" i="10"/>
  <c r="O88" i="10" s="1"/>
  <c r="AB71" i="10"/>
  <c r="AC71" i="10" s="1"/>
  <c r="T71" i="10" s="1"/>
  <c r="AB69" i="10"/>
  <c r="AC69" i="10" s="1"/>
  <c r="T69" i="10" s="1"/>
  <c r="S87" i="10"/>
  <c r="U87" i="10"/>
  <c r="T73" i="10" l="1"/>
  <c r="F59" i="10"/>
  <c r="D59" i="10" s="1"/>
</calcChain>
</file>

<file path=xl/sharedStrings.xml><?xml version="1.0" encoding="utf-8"?>
<sst xmlns="http://schemas.openxmlformats.org/spreadsheetml/2006/main" count="1895" uniqueCount="653">
  <si>
    <t>C0</t>
    <phoneticPr fontId="1"/>
  </si>
  <si>
    <t>Z</t>
    <phoneticPr fontId="1"/>
  </si>
  <si>
    <t>Rt</t>
    <phoneticPr fontId="1"/>
  </si>
  <si>
    <t>標準せん断力係数</t>
    <rPh sb="0" eb="2">
      <t>ヒョウジュン</t>
    </rPh>
    <rPh sb="4" eb="5">
      <t>ダン</t>
    </rPh>
    <rPh sb="5" eb="6">
      <t>チカラ</t>
    </rPh>
    <rPh sb="6" eb="8">
      <t>ケイスウ</t>
    </rPh>
    <phoneticPr fontId="1"/>
  </si>
  <si>
    <t>地震地域係数</t>
    <rPh sb="0" eb="2">
      <t>ジシン</t>
    </rPh>
    <rPh sb="2" eb="6">
      <t>チイキケイスウ</t>
    </rPh>
    <phoneticPr fontId="1"/>
  </si>
  <si>
    <t>振動特性係数</t>
    <rPh sb="0" eb="2">
      <t>シンドウ</t>
    </rPh>
    <rPh sb="2" eb="4">
      <t>トクセイ</t>
    </rPh>
    <rPh sb="4" eb="6">
      <t>ケイスウ</t>
    </rPh>
    <phoneticPr fontId="1"/>
  </si>
  <si>
    <t>太陽光発電設備等</t>
    <rPh sb="0" eb="3">
      <t>タイヨウコウ</t>
    </rPh>
    <rPh sb="3" eb="5">
      <t>ハツデン</t>
    </rPh>
    <rPh sb="5" eb="7">
      <t>セツビ</t>
    </rPh>
    <rPh sb="7" eb="8">
      <t>トウ</t>
    </rPh>
    <phoneticPr fontId="1"/>
  </si>
  <si>
    <t>なし</t>
    <phoneticPr fontId="1"/>
  </si>
  <si>
    <t>外壁</t>
    <rPh sb="0" eb="2">
      <t>ガイヘキ</t>
    </rPh>
    <phoneticPr fontId="1"/>
  </si>
  <si>
    <t>瓦屋根（ふき土無）</t>
    <rPh sb="0" eb="1">
      <t>カワラ</t>
    </rPh>
    <rPh sb="1" eb="3">
      <t>ヤネ</t>
    </rPh>
    <rPh sb="6" eb="7">
      <t>ド</t>
    </rPh>
    <rPh sb="7" eb="8">
      <t>ム</t>
    </rPh>
    <phoneticPr fontId="1"/>
  </si>
  <si>
    <t>スレート屋根</t>
    <rPh sb="4" eb="6">
      <t>ヤネ</t>
    </rPh>
    <phoneticPr fontId="1"/>
  </si>
  <si>
    <t>金属板ぶき</t>
    <rPh sb="0" eb="2">
      <t>キンゾク</t>
    </rPh>
    <phoneticPr fontId="1"/>
  </si>
  <si>
    <t>サイディング</t>
    <phoneticPr fontId="1"/>
  </si>
  <si>
    <t>金属板張</t>
    <rPh sb="0" eb="2">
      <t>キンゾク</t>
    </rPh>
    <rPh sb="2" eb="3">
      <t>イタ</t>
    </rPh>
    <rPh sb="3" eb="4">
      <t>ハ</t>
    </rPh>
    <phoneticPr fontId="1"/>
  </si>
  <si>
    <t>内壁</t>
    <rPh sb="0" eb="2">
      <t>ナイヘキ</t>
    </rPh>
    <phoneticPr fontId="1"/>
  </si>
  <si>
    <t>屋根</t>
    <rPh sb="0" eb="2">
      <t>ヤネ</t>
    </rPh>
    <phoneticPr fontId="1"/>
  </si>
  <si>
    <t>断熱材</t>
    <rPh sb="0" eb="3">
      <t>ダンネツザイ</t>
    </rPh>
    <phoneticPr fontId="1"/>
  </si>
  <si>
    <t>壁断熱材</t>
    <rPh sb="0" eb="1">
      <t>カベ</t>
    </rPh>
    <rPh sb="1" eb="4">
      <t>ダンネツザイ</t>
    </rPh>
    <phoneticPr fontId="1"/>
  </si>
  <si>
    <t>開口部</t>
    <rPh sb="0" eb="3">
      <t>カイコウブ</t>
    </rPh>
    <phoneticPr fontId="1"/>
  </si>
  <si>
    <t>トリプルガラス</t>
    <phoneticPr fontId="1"/>
  </si>
  <si>
    <t>床</t>
    <rPh sb="0" eb="1">
      <t>ユカ</t>
    </rPh>
    <phoneticPr fontId="1"/>
  </si>
  <si>
    <t>積載</t>
    <rPh sb="0" eb="2">
      <t>セキサイ</t>
    </rPh>
    <phoneticPr fontId="1"/>
  </si>
  <si>
    <t>1階</t>
    <rPh sb="1" eb="2">
      <t>カイ</t>
    </rPh>
    <phoneticPr fontId="1"/>
  </si>
  <si>
    <t>2階</t>
    <rPh sb="1" eb="2">
      <t>カイ</t>
    </rPh>
    <phoneticPr fontId="1"/>
  </si>
  <si>
    <t>土塗り壁等</t>
    <rPh sb="0" eb="1">
      <t>ツチ</t>
    </rPh>
    <rPh sb="1" eb="2">
      <t>ヌ</t>
    </rPh>
    <rPh sb="3" eb="4">
      <t>カベ</t>
    </rPh>
    <rPh sb="4" eb="5">
      <t>トウ</t>
    </rPh>
    <phoneticPr fontId="1"/>
  </si>
  <si>
    <t>モルタル等</t>
    <rPh sb="4" eb="5">
      <t>トウ</t>
    </rPh>
    <phoneticPr fontId="1"/>
  </si>
  <si>
    <t>1階階高（ｍ）</t>
    <rPh sb="2" eb="4">
      <t>カイダカ</t>
    </rPh>
    <phoneticPr fontId="1"/>
  </si>
  <si>
    <r>
      <t>床面積当たりの荷重(N/m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カジュウ</t>
    </rPh>
    <phoneticPr fontId="1"/>
  </si>
  <si>
    <t>せっこうボード</t>
    <phoneticPr fontId="1"/>
  </si>
  <si>
    <t>物件名</t>
    <rPh sb="0" eb="3">
      <t>ブッケンメイ</t>
    </rPh>
    <phoneticPr fontId="1"/>
  </si>
  <si>
    <t>出力結果</t>
    <rPh sb="0" eb="2">
      <t>シュツリョク</t>
    </rPh>
    <rPh sb="2" eb="4">
      <t>ケッカ</t>
    </rPh>
    <phoneticPr fontId="1"/>
  </si>
  <si>
    <t>作成日</t>
    <rPh sb="0" eb="3">
      <t>サクセイビ</t>
    </rPh>
    <phoneticPr fontId="1"/>
  </si>
  <si>
    <t>105角</t>
    <rPh sb="3" eb="4">
      <t>カク</t>
    </rPh>
    <phoneticPr fontId="1"/>
  </si>
  <si>
    <t>120角</t>
    <rPh sb="3" eb="4">
      <t>カク</t>
    </rPh>
    <phoneticPr fontId="1"/>
  </si>
  <si>
    <t>屋根の仕様</t>
    <rPh sb="0" eb="2">
      <t>ヤネ</t>
    </rPh>
    <rPh sb="3" eb="5">
      <t>シヨウ</t>
    </rPh>
    <phoneticPr fontId="1"/>
  </si>
  <si>
    <t>外壁の仕様</t>
    <rPh sb="0" eb="2">
      <t>ガイヘキ</t>
    </rPh>
    <rPh sb="3" eb="5">
      <t>シヨウ</t>
    </rPh>
    <phoneticPr fontId="1"/>
  </si>
  <si>
    <t>項目</t>
    <rPh sb="0" eb="2">
      <t>コウモク</t>
    </rPh>
    <phoneticPr fontId="1"/>
  </si>
  <si>
    <t>入力欄</t>
    <rPh sb="0" eb="3">
      <t>ニュウリョクラン</t>
    </rPh>
    <phoneticPr fontId="1"/>
  </si>
  <si>
    <r>
      <t>1階床面積(m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</si>
  <si>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t>軟弱地盤の指定がある場合は0.3（不明な場合は特定行政庁に確認）</t>
    <rPh sb="0" eb="2">
      <t>ナンジャク</t>
    </rPh>
    <rPh sb="2" eb="4">
      <t>ジバン</t>
    </rPh>
    <rPh sb="5" eb="7">
      <t>シテイ</t>
    </rPh>
    <rPh sb="10" eb="12">
      <t>バアイ</t>
    </rPh>
    <rPh sb="17" eb="19">
      <t>フメイ</t>
    </rPh>
    <rPh sb="20" eb="22">
      <t>バアイ</t>
    </rPh>
    <rPh sb="23" eb="28">
      <t>トクテイギョウセイチョウ</t>
    </rPh>
    <rPh sb="29" eb="31">
      <t>カクニン</t>
    </rPh>
    <phoneticPr fontId="1"/>
  </si>
  <si>
    <t>数値</t>
    <rPh sb="0" eb="2">
      <t>スウチ</t>
    </rPh>
    <phoneticPr fontId="1"/>
  </si>
  <si>
    <t>-</t>
    <phoneticPr fontId="1"/>
  </si>
  <si>
    <t>屋根全面設置を想定（国土交通省によるヒアリング調査等より）</t>
    <rPh sb="7" eb="9">
      <t>ソウテイ</t>
    </rPh>
    <phoneticPr fontId="1"/>
  </si>
  <si>
    <t>※１　令第84条より</t>
    <rPh sb="3" eb="4">
      <t>レイ</t>
    </rPh>
    <rPh sb="4" eb="5">
      <t>ダイ</t>
    </rPh>
    <rPh sb="7" eb="8">
      <t>ジョウ</t>
    </rPh>
    <phoneticPr fontId="1"/>
  </si>
  <si>
    <r>
      <t>壁面積あたりの荷重(N/m</t>
    </r>
    <r>
      <rPr>
        <vertAlign val="superscript"/>
        <sz val="11"/>
        <color theme="1"/>
        <rFont val="Yu Gothic"/>
        <family val="3"/>
        <charset val="128"/>
        <scheme val="minor"/>
      </rPr>
      <t>2</t>
    </r>
    <r>
      <rPr>
        <sz val="11"/>
        <color theme="1"/>
        <rFont val="Yu Gothic"/>
        <family val="3"/>
        <charset val="128"/>
        <scheme val="minor"/>
      </rPr>
      <t>)</t>
    </r>
    <rPh sb="0" eb="1">
      <t>カベ</t>
    </rPh>
    <rPh sb="1" eb="3">
      <t>メンセキ</t>
    </rPh>
    <rPh sb="7" eb="9">
      <t>カジュウ</t>
    </rPh>
    <phoneticPr fontId="1"/>
  </si>
  <si>
    <t>区分</t>
    <rPh sb="0" eb="2">
      <t>クブン</t>
    </rPh>
    <phoneticPr fontId="1"/>
  </si>
  <si>
    <t>樹種</t>
    <rPh sb="0" eb="2">
      <t>ジュシュ</t>
    </rPh>
    <phoneticPr fontId="1"/>
  </si>
  <si>
    <t>等級</t>
    <rPh sb="0" eb="2">
      <t>トウキュウ</t>
    </rPh>
    <phoneticPr fontId="1"/>
  </si>
  <si>
    <t>一級</t>
    <rPh sb="0" eb="2">
      <t>イッキュウ</t>
    </rPh>
    <phoneticPr fontId="1"/>
  </si>
  <si>
    <t>二級</t>
    <rPh sb="0" eb="2">
      <t>ニキュウ</t>
    </rPh>
    <phoneticPr fontId="1"/>
  </si>
  <si>
    <t>三級</t>
    <rPh sb="0" eb="2">
      <t>サンキュウ</t>
    </rPh>
    <phoneticPr fontId="1"/>
  </si>
  <si>
    <t>あかまつ</t>
    <phoneticPr fontId="1"/>
  </si>
  <si>
    <t>べいまつ</t>
    <phoneticPr fontId="1"/>
  </si>
  <si>
    <t>からまつ</t>
    <phoneticPr fontId="1"/>
  </si>
  <si>
    <t>ダフリカからまつ</t>
    <phoneticPr fontId="1"/>
  </si>
  <si>
    <t>ひば</t>
    <phoneticPr fontId="1"/>
  </si>
  <si>
    <t>ひのき</t>
    <phoneticPr fontId="1"/>
  </si>
  <si>
    <t>べいつが</t>
    <phoneticPr fontId="1"/>
  </si>
  <si>
    <t>えぞまつ及びとどまつ</t>
    <rPh sb="4" eb="5">
      <t>オヨ</t>
    </rPh>
    <phoneticPr fontId="1"/>
  </si>
  <si>
    <t>すぎ</t>
    <phoneticPr fontId="1"/>
  </si>
  <si>
    <t>甲種構造材
乙種構造材</t>
    <rPh sb="0" eb="1">
      <t>コウ</t>
    </rPh>
    <rPh sb="1" eb="2">
      <t>シュ</t>
    </rPh>
    <rPh sb="2" eb="5">
      <t>コウゾウザイ</t>
    </rPh>
    <phoneticPr fontId="1"/>
  </si>
  <si>
    <t>E90</t>
    <phoneticPr fontId="1"/>
  </si>
  <si>
    <t xml:space="preserve">E150 </t>
    <phoneticPr fontId="1"/>
  </si>
  <si>
    <t>E110</t>
    <phoneticPr fontId="1"/>
  </si>
  <si>
    <t>E130</t>
    <phoneticPr fontId="1"/>
  </si>
  <si>
    <t>E50</t>
    <phoneticPr fontId="1"/>
  </si>
  <si>
    <t>E70</t>
    <phoneticPr fontId="1"/>
  </si>
  <si>
    <t>無等級材</t>
    <rPh sb="0" eb="1">
      <t>ム</t>
    </rPh>
    <rPh sb="1" eb="4">
      <t>トウキュウザイ</t>
    </rPh>
    <phoneticPr fontId="1"/>
  </si>
  <si>
    <t>針葉樹</t>
    <rPh sb="0" eb="3">
      <t>シンヨウジュ</t>
    </rPh>
    <phoneticPr fontId="1"/>
  </si>
  <si>
    <t>広葉樹</t>
    <rPh sb="0" eb="3">
      <t>コウヨウジュ</t>
    </rPh>
    <phoneticPr fontId="1"/>
  </si>
  <si>
    <t>かし</t>
    <phoneticPr fontId="1"/>
  </si>
  <si>
    <t>すぎ</t>
  </si>
  <si>
    <t>E70</t>
  </si>
  <si>
    <t>180E</t>
  </si>
  <si>
    <t>180E</t>
    <phoneticPr fontId="1"/>
  </si>
  <si>
    <t>90E</t>
    <phoneticPr fontId="1"/>
  </si>
  <si>
    <t>べいまつ</t>
  </si>
  <si>
    <t>からまつ</t>
  </si>
  <si>
    <t>ダフリカからまつ</t>
  </si>
  <si>
    <t>べいつが</t>
  </si>
  <si>
    <t>あかまつ</t>
  </si>
  <si>
    <t>同一等級構成集成材</t>
    <rPh sb="0" eb="4">
      <t>ドウイツトウキュウ</t>
    </rPh>
    <rPh sb="4" eb="6">
      <t>コウセイ</t>
    </rPh>
    <rPh sb="6" eb="9">
      <t>シュウセイザイ</t>
    </rPh>
    <phoneticPr fontId="1"/>
  </si>
  <si>
    <t>ひき板の積層数</t>
    <rPh sb="2" eb="3">
      <t>イタ</t>
    </rPh>
    <rPh sb="4" eb="6">
      <t>セキソウ</t>
    </rPh>
    <rPh sb="6" eb="7">
      <t>スウ</t>
    </rPh>
    <phoneticPr fontId="1"/>
  </si>
  <si>
    <t>E190-F615</t>
    <phoneticPr fontId="1"/>
  </si>
  <si>
    <t>E170-F540</t>
    <phoneticPr fontId="1"/>
  </si>
  <si>
    <t>E150-F465</t>
    <phoneticPr fontId="1"/>
  </si>
  <si>
    <t>E135-F405</t>
    <phoneticPr fontId="1"/>
  </si>
  <si>
    <t>E120-F375</t>
    <phoneticPr fontId="1"/>
  </si>
  <si>
    <t>E105-F345</t>
    <phoneticPr fontId="1"/>
  </si>
  <si>
    <t>E95-F315</t>
    <phoneticPr fontId="1"/>
  </si>
  <si>
    <t>E75-F270</t>
    <phoneticPr fontId="1"/>
  </si>
  <si>
    <t>E65-F255</t>
    <phoneticPr fontId="1"/>
  </si>
  <si>
    <t>E55-F225</t>
    <phoneticPr fontId="1"/>
  </si>
  <si>
    <t>E190-F555</t>
    <phoneticPr fontId="1"/>
  </si>
  <si>
    <t>E170-F495</t>
    <phoneticPr fontId="1"/>
  </si>
  <si>
    <t>E150-F435</t>
    <phoneticPr fontId="1"/>
  </si>
  <si>
    <t>E135-F375</t>
    <phoneticPr fontId="1"/>
  </si>
  <si>
    <t>E120-F330</t>
    <phoneticPr fontId="1"/>
  </si>
  <si>
    <t>E105-F300</t>
    <phoneticPr fontId="1"/>
  </si>
  <si>
    <t>E95-F285</t>
    <phoneticPr fontId="1"/>
  </si>
  <si>
    <t>E75-F255</t>
    <phoneticPr fontId="1"/>
  </si>
  <si>
    <t>E65-F240</t>
    <phoneticPr fontId="1"/>
  </si>
  <si>
    <t>E190-F510</t>
    <phoneticPr fontId="1"/>
  </si>
  <si>
    <t>E170-F450</t>
    <phoneticPr fontId="1"/>
  </si>
  <si>
    <t>E150-F390</t>
    <phoneticPr fontId="1"/>
  </si>
  <si>
    <t>E135-F345</t>
    <phoneticPr fontId="1"/>
  </si>
  <si>
    <t>E120-F300</t>
    <phoneticPr fontId="1"/>
  </si>
  <si>
    <t>E105-F285</t>
    <phoneticPr fontId="1"/>
  </si>
  <si>
    <t>E95-F270</t>
    <phoneticPr fontId="1"/>
  </si>
  <si>
    <t>E75-F240</t>
    <phoneticPr fontId="1"/>
  </si>
  <si>
    <t>E65-F225</t>
    <phoneticPr fontId="1"/>
  </si>
  <si>
    <t>E55-F200</t>
    <phoneticPr fontId="1"/>
  </si>
  <si>
    <t>ヤング係数</t>
    <rPh sb="3" eb="5">
      <t>ケイスウ</t>
    </rPh>
    <phoneticPr fontId="1"/>
  </si>
  <si>
    <t>E190</t>
    <phoneticPr fontId="1"/>
  </si>
  <si>
    <t>E170</t>
    <phoneticPr fontId="1"/>
  </si>
  <si>
    <t>E150</t>
    <phoneticPr fontId="1"/>
  </si>
  <si>
    <t>E135</t>
    <phoneticPr fontId="1"/>
  </si>
  <si>
    <t>E120</t>
    <phoneticPr fontId="1"/>
  </si>
  <si>
    <t>E105</t>
    <phoneticPr fontId="1"/>
  </si>
  <si>
    <t>E95</t>
    <phoneticPr fontId="1"/>
  </si>
  <si>
    <t>E75</t>
    <phoneticPr fontId="1"/>
  </si>
  <si>
    <t>E65</t>
    <phoneticPr fontId="1"/>
  </si>
  <si>
    <t>E55</t>
    <phoneticPr fontId="1"/>
  </si>
  <si>
    <t>A種構造用単板積層材</t>
    <rPh sb="1" eb="2">
      <t>シュ</t>
    </rPh>
    <rPh sb="2" eb="5">
      <t>コウゾウヨウ</t>
    </rPh>
    <rPh sb="5" eb="7">
      <t>タンイタ</t>
    </rPh>
    <rPh sb="7" eb="10">
      <t>セキソウザイ</t>
    </rPh>
    <phoneticPr fontId="1"/>
  </si>
  <si>
    <t>曲げヤング係数区分</t>
    <rPh sb="0" eb="1">
      <t>マ</t>
    </rPh>
    <rPh sb="5" eb="7">
      <t>ケイスウ</t>
    </rPh>
    <rPh sb="7" eb="9">
      <t>クブン</t>
    </rPh>
    <phoneticPr fontId="1"/>
  </si>
  <si>
    <t>160E</t>
    <phoneticPr fontId="1"/>
  </si>
  <si>
    <t>140E</t>
    <phoneticPr fontId="1"/>
  </si>
  <si>
    <t>120E</t>
    <phoneticPr fontId="1"/>
  </si>
  <si>
    <t>110E</t>
    <phoneticPr fontId="1"/>
  </si>
  <si>
    <t>100E</t>
    <phoneticPr fontId="1"/>
  </si>
  <si>
    <t>80E</t>
    <phoneticPr fontId="1"/>
  </si>
  <si>
    <t>70E</t>
    <phoneticPr fontId="1"/>
  </si>
  <si>
    <t>60E</t>
    <phoneticPr fontId="1"/>
  </si>
  <si>
    <t>50E</t>
    <phoneticPr fontId="1"/>
  </si>
  <si>
    <t>特級</t>
    <rPh sb="0" eb="2">
      <t>トッキュウ</t>
    </rPh>
    <phoneticPr fontId="1"/>
  </si>
  <si>
    <t>変数</t>
    <rPh sb="0" eb="2">
      <t>ヘンスウ</t>
    </rPh>
    <phoneticPr fontId="1"/>
  </si>
  <si>
    <t>変数の意味と算定方法</t>
    <rPh sb="0" eb="2">
      <t>ヘンスウ</t>
    </rPh>
    <rPh sb="3" eb="5">
      <t>イミ</t>
    </rPh>
    <rPh sb="6" eb="10">
      <t>サンテイホウホウ</t>
    </rPh>
    <phoneticPr fontId="1"/>
  </si>
  <si>
    <t>　</t>
    <phoneticPr fontId="1"/>
  </si>
  <si>
    <t>（１）2階建ての場合</t>
    <rPh sb="4" eb="6">
      <t>カイダ</t>
    </rPh>
    <rPh sb="8" eb="10">
      <t>バアイ</t>
    </rPh>
    <phoneticPr fontId="1"/>
  </si>
  <si>
    <t>（２）平屋建ての場合</t>
    <rPh sb="3" eb="5">
      <t>ヒラヤ</t>
    </rPh>
    <rPh sb="5" eb="6">
      <t>ダ</t>
    </rPh>
    <rPh sb="8" eb="10">
      <t>バアイ</t>
    </rPh>
    <phoneticPr fontId="1"/>
  </si>
  <si>
    <t>2階建ての2階部分が支える固定荷重と積載荷重の和</t>
    <rPh sb="1" eb="3">
      <t>カイダ</t>
    </rPh>
    <rPh sb="6" eb="7">
      <t>カイ</t>
    </rPh>
    <rPh sb="7" eb="9">
      <t>ブブン</t>
    </rPh>
    <rPh sb="10" eb="11">
      <t>ササ</t>
    </rPh>
    <rPh sb="13" eb="15">
      <t>コテイ</t>
    </rPh>
    <rPh sb="15" eb="17">
      <t>カジュウ</t>
    </rPh>
    <rPh sb="18" eb="20">
      <t>セキサイ</t>
    </rPh>
    <rPh sb="20" eb="22">
      <t>カジュウ</t>
    </rPh>
    <rPh sb="23" eb="24">
      <t>ワ</t>
    </rPh>
    <phoneticPr fontId="1"/>
  </si>
  <si>
    <t>2階建ての1階部分が支える固定荷重と積載荷重の和</t>
    <rPh sb="1" eb="3">
      <t>カイダ</t>
    </rPh>
    <rPh sb="6" eb="7">
      <t>カイ</t>
    </rPh>
    <rPh sb="7" eb="9">
      <t>ブブン</t>
    </rPh>
    <rPh sb="10" eb="11">
      <t>ササ</t>
    </rPh>
    <rPh sb="13" eb="15">
      <t>コテイ</t>
    </rPh>
    <rPh sb="15" eb="17">
      <t>カジュウ</t>
    </rPh>
    <rPh sb="18" eb="20">
      <t>セキサイ</t>
    </rPh>
    <rPh sb="20" eb="22">
      <t>カジュウ</t>
    </rPh>
    <rPh sb="23" eb="24">
      <t>ワ</t>
    </rPh>
    <phoneticPr fontId="1"/>
  </si>
  <si>
    <t>平屋建ての1階部分が支える固定荷重と積載荷重の和</t>
    <rPh sb="0" eb="2">
      <t>ヒラヤ</t>
    </rPh>
    <rPh sb="2" eb="3">
      <t>ダ</t>
    </rPh>
    <rPh sb="6" eb="7">
      <t>カイ</t>
    </rPh>
    <rPh sb="7" eb="9">
      <t>ブブン</t>
    </rPh>
    <rPh sb="10" eb="11">
      <t>ササ</t>
    </rPh>
    <rPh sb="13" eb="15">
      <t>コテイ</t>
    </rPh>
    <rPh sb="15" eb="17">
      <t>カジュウ</t>
    </rPh>
    <rPh sb="18" eb="20">
      <t>セキサイ</t>
    </rPh>
    <rPh sb="20" eb="22">
      <t>カジュウ</t>
    </rPh>
    <rPh sb="23" eb="24">
      <t>ワ</t>
    </rPh>
    <phoneticPr fontId="1"/>
  </si>
  <si>
    <t>変数の意味</t>
    <rPh sb="0" eb="2">
      <t>ヘンスウ</t>
    </rPh>
    <rPh sb="3" eb="5">
      <t>イミ</t>
    </rPh>
    <phoneticPr fontId="1"/>
  </si>
  <si>
    <t>当該階が支えている部分の固定荷重と積載荷重の和Σwiの算出方法は以下のとおりである。</t>
    <rPh sb="27" eb="29">
      <t>サンシュツ</t>
    </rPh>
    <rPh sb="29" eb="31">
      <t>ホウホウ</t>
    </rPh>
    <rPh sb="32" eb="34">
      <t>イカ</t>
    </rPh>
    <phoneticPr fontId="1"/>
  </si>
  <si>
    <t>任意入力</t>
    <rPh sb="0" eb="4">
      <t>ニンイニュウリョク</t>
    </rPh>
    <phoneticPr fontId="1"/>
  </si>
  <si>
    <t>なし(0)</t>
    <phoneticPr fontId="1"/>
  </si>
  <si>
    <t>あり(任意入力)</t>
    <rPh sb="3" eb="5">
      <t>ニンイ</t>
    </rPh>
    <rPh sb="5" eb="7">
      <t>ニュウリョク</t>
    </rPh>
    <phoneticPr fontId="1"/>
  </si>
  <si>
    <t>①</t>
    <phoneticPr fontId="1"/>
  </si>
  <si>
    <t>②</t>
    <phoneticPr fontId="1"/>
  </si>
  <si>
    <t>70（初期値）</t>
    <rPh sb="3" eb="6">
      <t>ショキチ</t>
    </rPh>
    <phoneticPr fontId="1"/>
  </si>
  <si>
    <t>入力の注意点等</t>
    <rPh sb="0" eb="2">
      <t>ニュウリョク</t>
    </rPh>
    <rPh sb="3" eb="6">
      <t>チュウイテン</t>
    </rPh>
    <rPh sb="6" eb="7">
      <t>トウ</t>
    </rPh>
    <phoneticPr fontId="1"/>
  </si>
  <si>
    <t>1kg=9.8Nに修正</t>
    <rPh sb="9" eb="11">
      <t>シュウセイ</t>
    </rPh>
    <phoneticPr fontId="1"/>
  </si>
  <si>
    <t>厚さ(mm)</t>
    <rPh sb="0" eb="1">
      <t>アツ</t>
    </rPh>
    <phoneticPr fontId="1"/>
  </si>
  <si>
    <t>③</t>
    <phoneticPr fontId="1"/>
  </si>
  <si>
    <t>④</t>
    <phoneticPr fontId="1"/>
  </si>
  <si>
    <t>1階の壁荷重</t>
    <phoneticPr fontId="1"/>
  </si>
  <si>
    <t>2階の壁荷重</t>
    <rPh sb="1" eb="2">
      <t>カイ</t>
    </rPh>
    <rPh sb="3" eb="4">
      <t>カベ</t>
    </rPh>
    <rPh sb="4" eb="6">
      <t>カジュウ</t>
    </rPh>
    <phoneticPr fontId="1"/>
  </si>
  <si>
    <t>2階の床荷重</t>
    <rPh sb="1" eb="2">
      <t>カイ</t>
    </rPh>
    <rPh sb="3" eb="4">
      <t>ユカ</t>
    </rPh>
    <rPh sb="4" eb="6">
      <t>カジュウ</t>
    </rPh>
    <phoneticPr fontId="1"/>
  </si>
  <si>
    <t>2階の屋根荷重</t>
    <phoneticPr fontId="1"/>
  </si>
  <si>
    <t>1階下屋の屋根荷重</t>
    <phoneticPr fontId="1"/>
  </si>
  <si>
    <t>⑤</t>
    <phoneticPr fontId="1"/>
  </si>
  <si>
    <t>2階が支えている部分の荷重</t>
    <rPh sb="1" eb="2">
      <t>カイ</t>
    </rPh>
    <rPh sb="11" eb="13">
      <t>カジュウ</t>
    </rPh>
    <phoneticPr fontId="1"/>
  </si>
  <si>
    <t>1階が支えている部分の荷重</t>
    <rPh sb="1" eb="2">
      <t>カイ</t>
    </rPh>
    <rPh sb="11" eb="13">
      <t>カジュウ</t>
    </rPh>
    <phoneticPr fontId="1"/>
  </si>
  <si>
    <t>床面積比</t>
    <rPh sb="0" eb="4">
      <t>ユカメンセキヒ</t>
    </rPh>
    <phoneticPr fontId="1"/>
  </si>
  <si>
    <t>kN/m2</t>
  </si>
  <si>
    <t>kN/m2</t>
    <phoneticPr fontId="1"/>
  </si>
  <si>
    <t>2階柱材①</t>
    <rPh sb="1" eb="2">
      <t>カイ</t>
    </rPh>
    <rPh sb="2" eb="3">
      <t>ハシラ</t>
    </rPh>
    <rPh sb="3" eb="4">
      <t>ザイ</t>
    </rPh>
    <phoneticPr fontId="1"/>
  </si>
  <si>
    <t>密度と厚さで設定可能。</t>
    <rPh sb="0" eb="2">
      <t>ミツド</t>
    </rPh>
    <rPh sb="3" eb="4">
      <t>アツ</t>
    </rPh>
    <rPh sb="6" eb="8">
      <t>セッテイ</t>
    </rPh>
    <rPh sb="8" eb="10">
      <t>カノウ</t>
    </rPh>
    <phoneticPr fontId="1"/>
  </si>
  <si>
    <t>表1－1　変数の算定式、入力されている値</t>
    <rPh sb="0" eb="1">
      <t>ヒョウ</t>
    </rPh>
    <rPh sb="5" eb="7">
      <t>ヘンスウ</t>
    </rPh>
    <rPh sb="8" eb="11">
      <t>サンテイシキ</t>
    </rPh>
    <rPh sb="12" eb="14">
      <t>ニュウリョク</t>
    </rPh>
    <rPh sb="19" eb="20">
      <t>アタイ</t>
    </rPh>
    <phoneticPr fontId="1"/>
  </si>
  <si>
    <t>表1－2　変数の算定式、入力されている値</t>
    <rPh sb="0" eb="1">
      <t>ヒョウ</t>
    </rPh>
    <rPh sb="5" eb="7">
      <t>ヘンスウ</t>
    </rPh>
    <rPh sb="8" eb="11">
      <t>サンテイシキ</t>
    </rPh>
    <rPh sb="12" eb="14">
      <t>ニュウリョク</t>
    </rPh>
    <rPh sb="19" eb="20">
      <t>アタイ</t>
    </rPh>
    <phoneticPr fontId="1"/>
  </si>
  <si>
    <t>表1－3　水平構面の固定荷重と積載荷重の数値と根拠</t>
    <rPh sb="0" eb="1">
      <t>ヒョウ</t>
    </rPh>
    <rPh sb="5" eb="7">
      <t>スイヘイ</t>
    </rPh>
    <rPh sb="7" eb="9">
      <t>コウメン</t>
    </rPh>
    <rPh sb="10" eb="14">
      <t>コテイカジュウ</t>
    </rPh>
    <rPh sb="15" eb="19">
      <t>セキサイカジュウ</t>
    </rPh>
    <rPh sb="20" eb="22">
      <t>スウチ</t>
    </rPh>
    <rPh sb="23" eb="25">
      <t>コンキョ</t>
    </rPh>
    <phoneticPr fontId="1"/>
  </si>
  <si>
    <t>ー</t>
    <phoneticPr fontId="1"/>
  </si>
  <si>
    <t>部位の面積当たりの荷重及び床面積当たりの荷重を表1－3に示す。</t>
    <rPh sb="0" eb="2">
      <t>ブイ</t>
    </rPh>
    <rPh sb="3" eb="5">
      <t>メンセキ</t>
    </rPh>
    <rPh sb="5" eb="6">
      <t>ア</t>
    </rPh>
    <rPh sb="9" eb="11">
      <t>カジュウ</t>
    </rPh>
    <rPh sb="11" eb="12">
      <t>オヨ</t>
    </rPh>
    <rPh sb="13" eb="16">
      <t>ユカメンセキ</t>
    </rPh>
    <rPh sb="16" eb="17">
      <t>ア</t>
    </rPh>
    <rPh sb="20" eb="22">
      <t>カジュウ</t>
    </rPh>
    <rPh sb="23" eb="24">
      <t>ヒョウ</t>
    </rPh>
    <rPh sb="28" eb="29">
      <t>シメ</t>
    </rPh>
    <phoneticPr fontId="1"/>
  </si>
  <si>
    <t>太陽光発電設備等の全重量／1階床面積と2階床面積のうち大きい方の面積</t>
    <rPh sb="0" eb="3">
      <t>タイヨウコウ</t>
    </rPh>
    <rPh sb="3" eb="5">
      <t>ハツデン</t>
    </rPh>
    <rPh sb="5" eb="7">
      <t>セツビ</t>
    </rPh>
    <rPh sb="7" eb="8">
      <t>トウ</t>
    </rPh>
    <rPh sb="9" eb="12">
      <t>ゼンジュウリョウ</t>
    </rPh>
    <rPh sb="14" eb="15">
      <t>カイ</t>
    </rPh>
    <rPh sb="15" eb="18">
      <t>ユカメンセキ</t>
    </rPh>
    <rPh sb="20" eb="21">
      <t>カイ</t>
    </rPh>
    <rPh sb="21" eb="24">
      <t>ユカメンセキ</t>
    </rPh>
    <rPh sb="27" eb="28">
      <t>オオ</t>
    </rPh>
    <rPh sb="30" eb="31">
      <t>ホウ</t>
    </rPh>
    <rPh sb="32" eb="34">
      <t>メンセキ</t>
    </rPh>
    <phoneticPr fontId="1"/>
  </si>
  <si>
    <t>密度×厚さ</t>
    <rPh sb="0" eb="2">
      <t>ミツド</t>
    </rPh>
    <rPh sb="3" eb="4">
      <t>アツ</t>
    </rPh>
    <phoneticPr fontId="1"/>
  </si>
  <si>
    <t>表1－4　変数の算定式、入力されている値</t>
    <rPh sb="0" eb="1">
      <t>ヒョウ</t>
    </rPh>
    <rPh sb="5" eb="7">
      <t>ヘンスウ</t>
    </rPh>
    <rPh sb="8" eb="11">
      <t>サンテイシキ</t>
    </rPh>
    <rPh sb="12" eb="14">
      <t>ニュウリョク</t>
    </rPh>
    <rPh sb="19" eb="20">
      <t>アタイ</t>
    </rPh>
    <phoneticPr fontId="1"/>
  </si>
  <si>
    <t>X</t>
    <phoneticPr fontId="1"/>
  </si>
  <si>
    <t>Y</t>
    <phoneticPr fontId="1"/>
  </si>
  <si>
    <t>i階の階高（m）</t>
    <rPh sb="1" eb="2">
      <t>カイ</t>
    </rPh>
    <rPh sb="3" eb="5">
      <t>カイダカ</t>
    </rPh>
    <phoneticPr fontId="1"/>
  </si>
  <si>
    <t>W</t>
    <phoneticPr fontId="1"/>
  </si>
  <si>
    <t>壁面積当たりの荷重及び床面積当たりの荷重の計算結果は表1－5のとおりである。なお、床面積当たりの荷重は、階高2.8m時の例である。</t>
    <rPh sb="0" eb="1">
      <t>カベ</t>
    </rPh>
    <rPh sb="1" eb="3">
      <t>メンセキ</t>
    </rPh>
    <rPh sb="3" eb="4">
      <t>ア</t>
    </rPh>
    <rPh sb="7" eb="9">
      <t>カジュウ</t>
    </rPh>
    <rPh sb="9" eb="10">
      <t>オヨ</t>
    </rPh>
    <rPh sb="11" eb="14">
      <t>ユカメンセキ</t>
    </rPh>
    <rPh sb="14" eb="15">
      <t>ア</t>
    </rPh>
    <rPh sb="18" eb="20">
      <t>カジュウ</t>
    </rPh>
    <rPh sb="21" eb="23">
      <t>ケイサン</t>
    </rPh>
    <rPh sb="23" eb="25">
      <t>ケッカ</t>
    </rPh>
    <rPh sb="26" eb="27">
      <t>ヒョウ</t>
    </rPh>
    <rPh sb="41" eb="44">
      <t>ユカメンセキ</t>
    </rPh>
    <rPh sb="44" eb="45">
      <t>ア</t>
    </rPh>
    <rPh sb="48" eb="50">
      <t>カジュウ</t>
    </rPh>
    <rPh sb="52" eb="54">
      <t>カイダカ</t>
    </rPh>
    <rPh sb="58" eb="59">
      <t>ジ</t>
    </rPh>
    <rPh sb="60" eb="61">
      <t>レイ</t>
    </rPh>
    <phoneticPr fontId="1"/>
  </si>
  <si>
    <t>外壁及び壁断熱材の床面積当たりの荷重は、下式のとおり算出する。</t>
    <rPh sb="0" eb="2">
      <t>ガイヘキ</t>
    </rPh>
    <rPh sb="2" eb="3">
      <t>オヨ</t>
    </rPh>
    <rPh sb="4" eb="8">
      <t>カベダンネツザイ</t>
    </rPh>
    <rPh sb="9" eb="12">
      <t>ユカメンセキ</t>
    </rPh>
    <rPh sb="12" eb="13">
      <t>ア</t>
    </rPh>
    <rPh sb="16" eb="18">
      <t>カジュウ</t>
    </rPh>
    <rPh sb="20" eb="21">
      <t>シタ</t>
    </rPh>
    <rPh sb="21" eb="22">
      <t>シキ</t>
    </rPh>
    <rPh sb="26" eb="28">
      <t>サンシュツ</t>
    </rPh>
    <phoneticPr fontId="1"/>
  </si>
  <si>
    <t>2．柱の小径の算出方法</t>
    <rPh sb="2" eb="3">
      <t>ハシラ</t>
    </rPh>
    <rPh sb="4" eb="6">
      <t>ショウケイ</t>
    </rPh>
    <rPh sb="7" eb="11">
      <t>サンシュツホウホウ</t>
    </rPh>
    <phoneticPr fontId="1"/>
  </si>
  <si>
    <t>※２より床面積あたりの荷重を引用した。階高を変更する場合には、200×hi／2.8として算出する。</t>
    <rPh sb="4" eb="7">
      <t>ユカメンセキ</t>
    </rPh>
    <rPh sb="11" eb="13">
      <t>カジュウ</t>
    </rPh>
    <rPh sb="14" eb="16">
      <t>インヨウ</t>
    </rPh>
    <rPh sb="19" eb="21">
      <t>カイダカ</t>
    </rPh>
    <rPh sb="22" eb="24">
      <t>ヘンコウ</t>
    </rPh>
    <rPh sb="26" eb="28">
      <t>バアイ</t>
    </rPh>
    <rPh sb="44" eb="46">
      <t>サンシュツ</t>
    </rPh>
    <phoneticPr fontId="1"/>
  </si>
  <si>
    <t>ｌ</t>
    <phoneticPr fontId="1"/>
  </si>
  <si>
    <t>柱の必要小径（㎜）</t>
    <rPh sb="0" eb="1">
      <t>ハシラ</t>
    </rPh>
    <rPh sb="2" eb="4">
      <t>ヒツヨウ</t>
    </rPh>
    <rPh sb="4" eb="6">
      <t>ショウケイ</t>
    </rPh>
    <phoneticPr fontId="1"/>
  </si>
  <si>
    <t>外周柱の床面積当たりの負担荷重</t>
    <rPh sb="0" eb="2">
      <t>ガイシュウ</t>
    </rPh>
    <rPh sb="2" eb="3">
      <t>ハシラ</t>
    </rPh>
    <rPh sb="4" eb="7">
      <t>ユカメンセキ</t>
    </rPh>
    <rPh sb="7" eb="8">
      <t>ア</t>
    </rPh>
    <rPh sb="11" eb="15">
      <t>フタンカジュウ</t>
    </rPh>
    <phoneticPr fontId="1"/>
  </si>
  <si>
    <t>内部柱の床面積当たりの負担荷重</t>
    <rPh sb="0" eb="2">
      <t>ナイブ</t>
    </rPh>
    <rPh sb="2" eb="3">
      <t>ハシラ</t>
    </rPh>
    <rPh sb="4" eb="7">
      <t>ユカメンセキ</t>
    </rPh>
    <rPh sb="7" eb="8">
      <t>ア</t>
    </rPh>
    <rPh sb="11" eb="15">
      <t>フタンカジュウ</t>
    </rPh>
    <phoneticPr fontId="1"/>
  </si>
  <si>
    <t>柱の荷重負担面積（m2）</t>
    <rPh sb="0" eb="1">
      <t>ハシラ</t>
    </rPh>
    <rPh sb="2" eb="8">
      <t>カジュウフタンメンセキ</t>
    </rPh>
    <phoneticPr fontId="1"/>
  </si>
  <si>
    <t>床面積当たりの負担荷重（kN/m2）</t>
    <rPh sb="0" eb="3">
      <t>ユカメンセキ</t>
    </rPh>
    <rPh sb="3" eb="4">
      <t>ア</t>
    </rPh>
    <rPh sb="7" eb="11">
      <t>フタンカジュウ</t>
    </rPh>
    <phoneticPr fontId="1"/>
  </si>
  <si>
    <t>l／8.66</t>
    <phoneticPr fontId="1"/>
  </si>
  <si>
    <t>l／52.70</t>
    <phoneticPr fontId="1"/>
  </si>
  <si>
    <t>√ｗｄAe/（Kd/3・Fc）</t>
    <phoneticPr fontId="1"/>
  </si>
  <si>
    <t>1階柱材①</t>
    <rPh sb="1" eb="2">
      <t>カイ</t>
    </rPh>
    <rPh sb="2" eb="4">
      <t>ハシラザイ</t>
    </rPh>
    <phoneticPr fontId="1"/>
  </si>
  <si>
    <t>1階柱材②</t>
    <rPh sb="1" eb="2">
      <t>カイ</t>
    </rPh>
    <rPh sb="2" eb="4">
      <t>ハシラザイ</t>
    </rPh>
    <phoneticPr fontId="1"/>
  </si>
  <si>
    <t>樹種※</t>
    <rPh sb="0" eb="2">
      <t>ジュシュ</t>
    </rPh>
    <phoneticPr fontId="1"/>
  </si>
  <si>
    <t>2階柱材②</t>
    <rPh sb="1" eb="2">
      <t>カイ</t>
    </rPh>
    <rPh sb="2" eb="4">
      <t>ハシラザイ</t>
    </rPh>
    <phoneticPr fontId="1"/>
  </si>
  <si>
    <t>1階柱材③</t>
    <rPh sb="1" eb="2">
      <t>カイ</t>
    </rPh>
    <rPh sb="2" eb="4">
      <t>ハシラザイ</t>
    </rPh>
    <phoneticPr fontId="1"/>
  </si>
  <si>
    <t>2階柱材③</t>
    <rPh sb="1" eb="2">
      <t>カイ</t>
    </rPh>
    <rPh sb="2" eb="4">
      <t>ハシラザイ</t>
    </rPh>
    <phoneticPr fontId="1"/>
  </si>
  <si>
    <t>出力結果</t>
    <rPh sb="0" eb="4">
      <t>シュツリョクケッカ</t>
    </rPh>
    <phoneticPr fontId="1"/>
  </si>
  <si>
    <t>入力値</t>
    <rPh sb="0" eb="3">
      <t>ニュウリョクチ</t>
    </rPh>
    <phoneticPr fontId="1"/>
  </si>
  <si>
    <t>柱の小径
(㎜以上)</t>
    <rPh sb="0" eb="1">
      <t>ハシラ</t>
    </rPh>
    <rPh sb="2" eb="4">
      <t>ショウケイ</t>
    </rPh>
    <rPh sb="7" eb="9">
      <t>イジョウ</t>
    </rPh>
    <phoneticPr fontId="1"/>
  </si>
  <si>
    <t>長辺(㎜)</t>
    <rPh sb="0" eb="2">
      <t>チョウヘン</t>
    </rPh>
    <phoneticPr fontId="1"/>
  </si>
  <si>
    <t>短辺(㎜)</t>
    <rPh sb="0" eb="2">
      <t>タンペン</t>
    </rPh>
    <phoneticPr fontId="1"/>
  </si>
  <si>
    <t>任意入力①</t>
    <rPh sb="0" eb="2">
      <t>ニンイ</t>
    </rPh>
    <rPh sb="2" eb="4">
      <t>ニュウリョク</t>
    </rPh>
    <phoneticPr fontId="1"/>
  </si>
  <si>
    <t>任意入力②</t>
    <rPh sb="0" eb="4">
      <t>ニンイニュウリョク</t>
    </rPh>
    <phoneticPr fontId="1"/>
  </si>
  <si>
    <t>細長比λ</t>
    <rPh sb="0" eb="3">
      <t>ホソナガヒ</t>
    </rPh>
    <phoneticPr fontId="1"/>
  </si>
  <si>
    <t>座屈低減係数</t>
    <rPh sb="0" eb="2">
      <t>ザクツ</t>
    </rPh>
    <rPh sb="2" eb="6">
      <t>テイゲンケイスウ</t>
    </rPh>
    <phoneticPr fontId="1"/>
  </si>
  <si>
    <t>任意入力②</t>
    <rPh sb="0" eb="2">
      <t>ニンイ</t>
    </rPh>
    <rPh sb="2" eb="4">
      <t>ニュウリョク</t>
    </rPh>
    <phoneticPr fontId="1"/>
  </si>
  <si>
    <t>座屈方向の材せい</t>
    <rPh sb="0" eb="2">
      <t>ザクツ</t>
    </rPh>
    <rPh sb="2" eb="4">
      <t>ホウコウ</t>
    </rPh>
    <rPh sb="5" eb="6">
      <t>ザイ</t>
    </rPh>
    <phoneticPr fontId="1"/>
  </si>
  <si>
    <t xml:space="preserve">    １）2階建ての場合</t>
    <rPh sb="7" eb="9">
      <t>カイダ</t>
    </rPh>
    <rPh sb="11" eb="13">
      <t>バアイ</t>
    </rPh>
    <phoneticPr fontId="1"/>
  </si>
  <si>
    <t xml:space="preserve">   ２）平屋建ての場合</t>
    <rPh sb="5" eb="7">
      <t>ヒラヤ</t>
    </rPh>
    <rPh sb="7" eb="8">
      <t>ダ</t>
    </rPh>
    <rPh sb="10" eb="12">
      <t>バアイ</t>
    </rPh>
    <phoneticPr fontId="1"/>
  </si>
  <si>
    <r>
      <t>床面積当たりの荷重(N/m</t>
    </r>
    <r>
      <rPr>
        <vertAlign val="superscript"/>
        <sz val="9"/>
        <color theme="1"/>
        <rFont val="Yu Gothic"/>
        <family val="3"/>
        <charset val="128"/>
        <scheme val="minor"/>
      </rPr>
      <t>2</t>
    </r>
    <r>
      <rPr>
        <sz val="9"/>
        <color theme="1"/>
        <rFont val="Yu Gothic"/>
        <family val="3"/>
        <charset val="128"/>
        <scheme val="minor"/>
      </rPr>
      <t>)</t>
    </r>
    <rPh sb="0" eb="3">
      <t>ユカメンセキ</t>
    </rPh>
    <rPh sb="3" eb="4">
      <t>ア</t>
    </rPh>
    <rPh sb="7" eb="9">
      <t>カジュウ</t>
    </rPh>
    <phoneticPr fontId="1"/>
  </si>
  <si>
    <t>プルダウン選択</t>
    <rPh sb="5" eb="7">
      <t>センタク</t>
    </rPh>
    <phoneticPr fontId="1"/>
  </si>
  <si>
    <t>（１）　柱の座屈の検討による柱の負担可能面積の算出方法</t>
    <rPh sb="4" eb="5">
      <t>ハシラ</t>
    </rPh>
    <rPh sb="6" eb="8">
      <t>ザクツ</t>
    </rPh>
    <rPh sb="9" eb="11">
      <t>ケントウ</t>
    </rPh>
    <rPh sb="14" eb="15">
      <t>ハシラ</t>
    </rPh>
    <rPh sb="16" eb="22">
      <t>フタンカノウメンセキ</t>
    </rPh>
    <phoneticPr fontId="1"/>
  </si>
  <si>
    <r>
      <t>ｄ</t>
    </r>
    <r>
      <rPr>
        <i/>
        <vertAlign val="subscript"/>
        <sz val="11"/>
        <color theme="1"/>
        <rFont val="Yu Gothic"/>
        <family val="3"/>
        <charset val="128"/>
        <scheme val="minor"/>
      </rPr>
      <t>b</t>
    </r>
    <phoneticPr fontId="1"/>
  </si>
  <si>
    <t>柱の座屈方向の材せい（㎜）</t>
    <rPh sb="0" eb="1">
      <t>ハシラ</t>
    </rPh>
    <rPh sb="2" eb="4">
      <t>ザクツ</t>
    </rPh>
    <rPh sb="4" eb="6">
      <t>ホウコウ</t>
    </rPh>
    <rPh sb="7" eb="8">
      <t>ザイ</t>
    </rPh>
    <phoneticPr fontId="1"/>
  </si>
  <si>
    <r>
      <t>柱の負担可能面積（㎜</t>
    </r>
    <r>
      <rPr>
        <vertAlign val="superscript"/>
        <sz val="11"/>
        <color theme="1"/>
        <rFont val="Yu Gothic"/>
        <family val="3"/>
        <charset val="128"/>
        <scheme val="minor"/>
      </rPr>
      <t>2</t>
    </r>
    <r>
      <rPr>
        <sz val="11"/>
        <color theme="1"/>
        <rFont val="Yu Gothic"/>
        <family val="2"/>
        <scheme val="minor"/>
      </rPr>
      <t>）</t>
    </r>
    <rPh sb="0" eb="1">
      <t>ハシラ</t>
    </rPh>
    <rPh sb="2" eb="4">
      <t>フタン</t>
    </rPh>
    <rPh sb="4" eb="6">
      <t>カノウ</t>
    </rPh>
    <rPh sb="6" eb="8">
      <t>メンセキ</t>
    </rPh>
    <phoneticPr fontId="1"/>
  </si>
  <si>
    <r>
      <t>A</t>
    </r>
    <r>
      <rPr>
        <i/>
        <vertAlign val="subscript"/>
        <sz val="11"/>
        <color theme="1"/>
        <rFont val="Yu Gothic"/>
        <family val="3"/>
        <charset val="128"/>
        <scheme val="minor"/>
      </rPr>
      <t>a</t>
    </r>
    <phoneticPr fontId="1"/>
  </si>
  <si>
    <r>
      <t>A</t>
    </r>
    <r>
      <rPr>
        <i/>
        <vertAlign val="subscript"/>
        <sz val="11"/>
        <color theme="1"/>
        <rFont val="Yu Gothic"/>
        <family val="3"/>
        <charset val="128"/>
        <scheme val="minor"/>
      </rPr>
      <t xml:space="preserve">ce </t>
    </r>
    <phoneticPr fontId="1"/>
  </si>
  <si>
    <r>
      <t>柱の軸部の断面積（㎜</t>
    </r>
    <r>
      <rPr>
        <vertAlign val="superscript"/>
        <sz val="11"/>
        <color theme="1"/>
        <rFont val="Yu Gothic"/>
        <family val="3"/>
        <charset val="128"/>
        <scheme val="minor"/>
      </rPr>
      <t>2</t>
    </r>
    <r>
      <rPr>
        <sz val="11"/>
        <color theme="1"/>
        <rFont val="Yu Gothic"/>
        <family val="2"/>
        <scheme val="minor"/>
      </rPr>
      <t>）</t>
    </r>
    <rPh sb="0" eb="1">
      <t>ハシラ</t>
    </rPh>
    <rPh sb="2" eb="3">
      <t>ジク</t>
    </rPh>
    <rPh sb="3" eb="4">
      <t>ブ</t>
    </rPh>
    <rPh sb="5" eb="8">
      <t>ダンメンセキ</t>
    </rPh>
    <phoneticPr fontId="1"/>
  </si>
  <si>
    <r>
      <t>荷重の負担面積（㎜</t>
    </r>
    <r>
      <rPr>
        <vertAlign val="superscript"/>
        <sz val="11"/>
        <color theme="1"/>
        <rFont val="Yu Gothic"/>
        <family val="3"/>
        <charset val="128"/>
        <scheme val="minor"/>
      </rPr>
      <t>2</t>
    </r>
    <r>
      <rPr>
        <sz val="11"/>
        <color theme="1"/>
        <rFont val="Yu Gothic"/>
        <family val="2"/>
        <scheme val="minor"/>
      </rPr>
      <t>）。本ツールでは5.0m</t>
    </r>
    <r>
      <rPr>
        <vertAlign val="superscript"/>
        <sz val="11"/>
        <color theme="1"/>
        <rFont val="Yu Gothic"/>
        <family val="3"/>
        <charset val="128"/>
        <scheme val="minor"/>
      </rPr>
      <t>2</t>
    </r>
    <r>
      <rPr>
        <sz val="11"/>
        <color theme="1"/>
        <rFont val="Yu Gothic"/>
        <family val="2"/>
        <scheme val="minor"/>
      </rPr>
      <t>と仮定している。</t>
    </r>
    <rPh sb="0" eb="2">
      <t>カジュウ</t>
    </rPh>
    <rPh sb="3" eb="7">
      <t>フタンメンセキ</t>
    </rPh>
    <phoneticPr fontId="1"/>
  </si>
  <si>
    <t>1階の屋根荷重</t>
    <phoneticPr fontId="1"/>
  </si>
  <si>
    <t>JAS目視等級区分構造用製材</t>
    <phoneticPr fontId="1"/>
  </si>
  <si>
    <t>無等級材</t>
    <phoneticPr fontId="1"/>
  </si>
  <si>
    <t>JAS規格</t>
    <rPh sb="3" eb="5">
      <t>キカク</t>
    </rPh>
    <phoneticPr fontId="1"/>
  </si>
  <si>
    <t>樹種等</t>
    <rPh sb="0" eb="2">
      <t>ジュシュ</t>
    </rPh>
    <rPh sb="2" eb="3">
      <t>トウ</t>
    </rPh>
    <phoneticPr fontId="1"/>
  </si>
  <si>
    <t>無等級材</t>
  </si>
  <si>
    <t>ひば</t>
  </si>
  <si>
    <t>ひのき</t>
  </si>
  <si>
    <t>JAS同一等級構成集成材</t>
  </si>
  <si>
    <t>JAS同一等級構成集成材</t>
    <phoneticPr fontId="1"/>
  </si>
  <si>
    <t>JAS機械等級区分構造用製材</t>
    <rPh sb="3" eb="5">
      <t>キカイ</t>
    </rPh>
    <rPh sb="5" eb="7">
      <t>トウキュウ</t>
    </rPh>
    <rPh sb="7" eb="9">
      <t>クブン</t>
    </rPh>
    <rPh sb="9" eb="12">
      <t>コウゾウヨウ</t>
    </rPh>
    <rPh sb="12" eb="14">
      <t>セイザイ</t>
    </rPh>
    <phoneticPr fontId="1"/>
  </si>
  <si>
    <t>えぞまつ</t>
    <phoneticPr fontId="1"/>
  </si>
  <si>
    <t>とどまつ</t>
    <phoneticPr fontId="1"/>
  </si>
  <si>
    <t>くろまつ</t>
    <phoneticPr fontId="1"/>
  </si>
  <si>
    <t>べいひ</t>
    <phoneticPr fontId="1"/>
  </si>
  <si>
    <t>べいひば</t>
    <phoneticPr fontId="1"/>
  </si>
  <si>
    <t>つが</t>
    <phoneticPr fontId="1"/>
  </si>
  <si>
    <t>もみ</t>
    <phoneticPr fontId="1"/>
  </si>
  <si>
    <t>べにまつ</t>
    <phoneticPr fontId="1"/>
  </si>
  <si>
    <t>べいすぎ</t>
    <phoneticPr fontId="1"/>
  </si>
  <si>
    <t>スプルース</t>
    <phoneticPr fontId="1"/>
  </si>
  <si>
    <t>くり</t>
    <phoneticPr fontId="1"/>
  </si>
  <si>
    <t>なら</t>
    <phoneticPr fontId="1"/>
  </si>
  <si>
    <t>ぶな</t>
    <phoneticPr fontId="1"/>
  </si>
  <si>
    <t>けやき</t>
    <phoneticPr fontId="1"/>
  </si>
  <si>
    <t>JASA種構造用単板積層材</t>
  </si>
  <si>
    <t>JASA種構造用単板積層材</t>
    <phoneticPr fontId="1"/>
  </si>
  <si>
    <t>機械</t>
    <rPh sb="0" eb="2">
      <t>キカイ</t>
    </rPh>
    <phoneticPr fontId="1"/>
  </si>
  <si>
    <t>目視</t>
    <rPh sb="0" eb="2">
      <t>モクシ</t>
    </rPh>
    <phoneticPr fontId="1"/>
  </si>
  <si>
    <t>無等級</t>
    <rPh sb="0" eb="1">
      <t>ム</t>
    </rPh>
    <rPh sb="1" eb="3">
      <t>トウキュウ</t>
    </rPh>
    <phoneticPr fontId="1"/>
  </si>
  <si>
    <t>集成材</t>
    <rPh sb="0" eb="3">
      <t>シュウセイザイ</t>
    </rPh>
    <phoneticPr fontId="1"/>
  </si>
  <si>
    <t>LVL</t>
    <phoneticPr fontId="1"/>
  </si>
  <si>
    <t>(4層以上)</t>
    <rPh sb="2" eb="3">
      <t>ソウ</t>
    </rPh>
    <rPh sb="3" eb="5">
      <t>イジョウ</t>
    </rPh>
    <phoneticPr fontId="1"/>
  </si>
  <si>
    <t>(3層)</t>
    <rPh sb="2" eb="3">
      <t>ソウ</t>
    </rPh>
    <phoneticPr fontId="1"/>
  </si>
  <si>
    <t>(2層)</t>
    <rPh sb="2" eb="3">
      <t>ソウ</t>
    </rPh>
    <phoneticPr fontId="1"/>
  </si>
  <si>
    <t>等級等(積層数)</t>
    <rPh sb="0" eb="2">
      <t>トウキュウ</t>
    </rPh>
    <rPh sb="2" eb="3">
      <t>トウ</t>
    </rPh>
    <rPh sb="4" eb="7">
      <t>セキソウスウ</t>
    </rPh>
    <phoneticPr fontId="1"/>
  </si>
  <si>
    <t>柱材の種類</t>
    <rPh sb="0" eb="2">
      <t>ハシラザイ</t>
    </rPh>
    <rPh sb="3" eb="5">
      <t>シュルイ</t>
    </rPh>
    <phoneticPr fontId="1"/>
  </si>
  <si>
    <t>長辺・短辺（㎜）</t>
    <rPh sb="0" eb="2">
      <t>チョウヘン</t>
    </rPh>
    <rPh sb="3" eb="5">
      <t>タンペン</t>
    </rPh>
    <phoneticPr fontId="1"/>
  </si>
  <si>
    <t>えぞまつ</t>
  </si>
  <si>
    <t>とどまつ</t>
  </si>
  <si>
    <t>べにまつ</t>
    <phoneticPr fontId="1"/>
  </si>
  <si>
    <t>すぎ</t>
    <phoneticPr fontId="1"/>
  </si>
  <si>
    <t>べいすぎ</t>
    <phoneticPr fontId="1"/>
  </si>
  <si>
    <t>スプルース</t>
    <phoneticPr fontId="1"/>
  </si>
  <si>
    <t>2階
内部
の柱</t>
    <rPh sb="1" eb="2">
      <t>カイ</t>
    </rPh>
    <rPh sb="3" eb="5">
      <t>ナイブ</t>
    </rPh>
    <rPh sb="7" eb="8">
      <t>ハシラ</t>
    </rPh>
    <phoneticPr fontId="1"/>
  </si>
  <si>
    <t>1階
内部
の柱</t>
    <rPh sb="1" eb="2">
      <t>カイ</t>
    </rPh>
    <rPh sb="3" eb="5">
      <t>ナイブ</t>
    </rPh>
    <rPh sb="7" eb="8">
      <t>ハシラ</t>
    </rPh>
    <phoneticPr fontId="1"/>
  </si>
  <si>
    <t>2階
外周部
の柱*</t>
    <rPh sb="1" eb="2">
      <t>カイ</t>
    </rPh>
    <rPh sb="3" eb="5">
      <t>ガイシュウ</t>
    </rPh>
    <rPh sb="5" eb="6">
      <t>ブ</t>
    </rPh>
    <rPh sb="8" eb="9">
      <t>ハシラ</t>
    </rPh>
    <phoneticPr fontId="1"/>
  </si>
  <si>
    <t>1階
外周部
の柱*</t>
    <rPh sb="1" eb="2">
      <t>カイ</t>
    </rPh>
    <rPh sb="3" eb="5">
      <t>ガイシュウ</t>
    </rPh>
    <rPh sb="5" eb="6">
      <t>ブ</t>
    </rPh>
    <rPh sb="8" eb="9">
      <t>ハシラ</t>
    </rPh>
    <phoneticPr fontId="1"/>
  </si>
  <si>
    <t>グループ</t>
    <phoneticPr fontId="1"/>
  </si>
  <si>
    <r>
      <t>太陽光発電設備等(N/m</t>
    </r>
    <r>
      <rPr>
        <vertAlign val="superscript"/>
        <sz val="11"/>
        <color theme="1"/>
        <rFont val="Yu Gothic"/>
        <family val="3"/>
        <charset val="128"/>
        <scheme val="minor"/>
      </rPr>
      <t>2</t>
    </r>
    <r>
      <rPr>
        <sz val="11"/>
        <color theme="1"/>
        <rFont val="Yu Gothic"/>
        <family val="2"/>
        <scheme val="minor"/>
      </rPr>
      <t>)</t>
    </r>
    <rPh sb="0" eb="3">
      <t>タイヨウコウ</t>
    </rPh>
    <rPh sb="3" eb="5">
      <t>ハツデン</t>
    </rPh>
    <rPh sb="5" eb="7">
      <t>セツビ</t>
    </rPh>
    <rPh sb="7" eb="8">
      <t>トウ</t>
    </rPh>
    <phoneticPr fontId="1"/>
  </si>
  <si>
    <r>
      <t>外壁断熱材(N/m</t>
    </r>
    <r>
      <rPr>
        <vertAlign val="superscript"/>
        <sz val="11"/>
        <color theme="1"/>
        <rFont val="Yu Gothic"/>
        <family val="3"/>
        <charset val="128"/>
        <scheme val="minor"/>
      </rPr>
      <t>2</t>
    </r>
    <r>
      <rPr>
        <sz val="11"/>
        <color theme="1"/>
        <rFont val="Yu Gothic"/>
        <family val="2"/>
        <scheme val="minor"/>
      </rPr>
      <t>)</t>
    </r>
    <rPh sb="0" eb="2">
      <t>ガイヘキ</t>
    </rPh>
    <phoneticPr fontId="1"/>
  </si>
  <si>
    <t>階</t>
    <phoneticPr fontId="1"/>
  </si>
  <si>
    <r>
      <t>標準せん断力係数C</t>
    </r>
    <r>
      <rPr>
        <vertAlign val="subscript"/>
        <sz val="11"/>
        <color theme="1"/>
        <rFont val="Yu Gothic"/>
        <family val="3"/>
        <charset val="128"/>
        <scheme val="minor"/>
      </rPr>
      <t>0</t>
    </r>
    <rPh sb="0" eb="2">
      <t>ヒョウジュン</t>
    </rPh>
    <rPh sb="4" eb="5">
      <t>ダン</t>
    </rPh>
    <rPh sb="5" eb="6">
      <t>チカラ</t>
    </rPh>
    <rPh sb="6" eb="8">
      <t>ケイスウ</t>
    </rPh>
    <phoneticPr fontId="1"/>
  </si>
  <si>
    <r>
      <t>※使い方：</t>
    </r>
    <r>
      <rPr>
        <b/>
        <sz val="11"/>
        <color theme="9" tint="-0.249977111117893"/>
        <rFont val="HG丸ｺﾞｼｯｸM-PRO"/>
        <family val="3"/>
        <charset val="128"/>
      </rPr>
      <t>緑</t>
    </r>
    <r>
      <rPr>
        <sz val="11"/>
        <color theme="1"/>
        <rFont val="HG丸ｺﾞｼｯｸM-PRO"/>
        <family val="3"/>
        <charset val="128"/>
      </rPr>
      <t>の枠に必要事項を入力すると</t>
    </r>
    <r>
      <rPr>
        <b/>
        <sz val="11"/>
        <color theme="5" tint="-0.249977111117893"/>
        <rFont val="HG丸ｺﾞｼｯｸM-PRO"/>
        <family val="3"/>
        <charset val="128"/>
      </rPr>
      <t>オレンジ</t>
    </r>
    <r>
      <rPr>
        <sz val="11"/>
        <color theme="1"/>
        <rFont val="HG丸ｺﾞｼｯｸM-PRO"/>
        <family val="3"/>
        <charset val="128"/>
      </rPr>
      <t>の枠に結果が出力されます。</t>
    </r>
    <rPh sb="1" eb="2">
      <t>ツカ</t>
    </rPh>
    <rPh sb="3" eb="4">
      <t>カタ</t>
    </rPh>
    <rPh sb="5" eb="6">
      <t>ミドリ</t>
    </rPh>
    <rPh sb="7" eb="8">
      <t>ワク</t>
    </rPh>
    <rPh sb="9" eb="13">
      <t>ヒツヨウジコウ</t>
    </rPh>
    <rPh sb="14" eb="16">
      <t>ニュウリョク</t>
    </rPh>
    <rPh sb="24" eb="25">
      <t>ワク</t>
    </rPh>
    <rPh sb="26" eb="28">
      <t>ケッカ</t>
    </rPh>
    <rPh sb="29" eb="31">
      <t>シュツリョク</t>
    </rPh>
    <phoneticPr fontId="1"/>
  </si>
  <si>
    <t>有効細長比</t>
    <rPh sb="0" eb="5">
      <t>ユウコウホソナガヒ</t>
    </rPh>
    <phoneticPr fontId="1"/>
  </si>
  <si>
    <t>座屈計算</t>
    <rPh sb="0" eb="2">
      <t>ザクツ</t>
    </rPh>
    <rPh sb="2" eb="4">
      <t>ケイサン</t>
    </rPh>
    <phoneticPr fontId="1"/>
  </si>
  <si>
    <t>座屈計算</t>
    <rPh sb="0" eb="4">
      <t>ザクツケイサン</t>
    </rPh>
    <phoneticPr fontId="1"/>
  </si>
  <si>
    <t>数値入力することによって任意の断面寸法を設定することができます。</t>
    <phoneticPr fontId="1"/>
  </si>
  <si>
    <t>左記の値×2×2.8×22.5×(1-0.09)
/(6×16.5)</t>
    <phoneticPr fontId="1"/>
  </si>
  <si>
    <t>内容</t>
    <rPh sb="0" eb="2">
      <t>ナイヨウ</t>
    </rPh>
    <phoneticPr fontId="1"/>
  </si>
  <si>
    <t>JAS機械等級区分構造用製材</t>
    <phoneticPr fontId="1"/>
  </si>
  <si>
    <t>VLOOKUP引き当て用</t>
    <rPh sb="7" eb="8">
      <t>ヒ</t>
    </rPh>
    <rPh sb="9" eb="10">
      <t>ア</t>
    </rPh>
    <rPh sb="11" eb="12">
      <t>ヨウ</t>
    </rPh>
    <phoneticPr fontId="1"/>
  </si>
  <si>
    <r>
      <t>圧縮基準強度Fc（N/mm</t>
    </r>
    <r>
      <rPr>
        <vertAlign val="superscript"/>
        <sz val="11"/>
        <color theme="1"/>
        <rFont val="Yu Gothic"/>
        <family val="3"/>
        <charset val="128"/>
        <scheme val="minor"/>
      </rPr>
      <t>２</t>
    </r>
    <r>
      <rPr>
        <sz val="11"/>
        <color theme="1"/>
        <rFont val="Yu Gothic"/>
        <family val="2"/>
        <scheme val="minor"/>
      </rPr>
      <t>）</t>
    </r>
    <rPh sb="0" eb="6">
      <t>アッシュクキジュンキョウド</t>
    </rPh>
    <phoneticPr fontId="1"/>
  </si>
  <si>
    <t>*外周部の柱とは外壁面に存する柱を指す。内部柱とは外壁に面しない柱を指す。</t>
    <rPh sb="1" eb="4">
      <t>ガイシュウブ</t>
    </rPh>
    <rPh sb="5" eb="6">
      <t>ハシラ</t>
    </rPh>
    <rPh sb="8" eb="10">
      <t>ガイヘキ</t>
    </rPh>
    <rPh sb="10" eb="11">
      <t>メン</t>
    </rPh>
    <rPh sb="12" eb="13">
      <t>ゾン</t>
    </rPh>
    <rPh sb="15" eb="16">
      <t>ハシラ</t>
    </rPh>
    <rPh sb="17" eb="18">
      <t>サ</t>
    </rPh>
    <rPh sb="20" eb="22">
      <t>ナイブ</t>
    </rPh>
    <rPh sb="22" eb="23">
      <t>バシラ</t>
    </rPh>
    <rPh sb="25" eb="27">
      <t>ガイヘキ</t>
    </rPh>
    <rPh sb="28" eb="29">
      <t>メン</t>
    </rPh>
    <rPh sb="32" eb="33">
      <t>ハシラ</t>
    </rPh>
    <rPh sb="34" eb="35">
      <t>サ</t>
    </rPh>
    <phoneticPr fontId="1"/>
  </si>
  <si>
    <t>大臣認定</t>
    <rPh sb="0" eb="4">
      <t>ダイジンニンテイ</t>
    </rPh>
    <phoneticPr fontId="1"/>
  </si>
  <si>
    <t>2階柱材④</t>
    <rPh sb="1" eb="2">
      <t>カイ</t>
    </rPh>
    <rPh sb="2" eb="4">
      <t>ハシラザイ</t>
    </rPh>
    <phoneticPr fontId="1"/>
  </si>
  <si>
    <t>修正時には参照先を確認→</t>
    <rPh sb="0" eb="3">
      <t>シュウセイジ</t>
    </rPh>
    <rPh sb="5" eb="7">
      <t>サンショウ</t>
    </rPh>
    <rPh sb="7" eb="8">
      <t>サキ</t>
    </rPh>
    <rPh sb="9" eb="11">
      <t>カクニン</t>
    </rPh>
    <phoneticPr fontId="1"/>
  </si>
  <si>
    <t>下見板張</t>
    <phoneticPr fontId="1"/>
  </si>
  <si>
    <t>下見板張り（100）※1 +軸組（150）※1 +せっこうボード（100）※2</t>
  </si>
  <si>
    <t>下見板張</t>
    <rPh sb="0" eb="2">
      <t>シタミ</t>
    </rPh>
    <rPh sb="2" eb="3">
      <t>イタ</t>
    </rPh>
    <rPh sb="3" eb="4">
      <t>ハ</t>
    </rPh>
    <phoneticPr fontId="1"/>
  </si>
  <si>
    <t>JAS目視等級区分構造用製材</t>
  </si>
  <si>
    <t>ー</t>
  </si>
  <si>
    <t>床面積当たりの荷重(階の床面積に乗ずる値用）</t>
    <rPh sb="0" eb="3">
      <t>ユカメンセキ</t>
    </rPh>
    <rPh sb="3" eb="4">
      <t>ア</t>
    </rPh>
    <rPh sb="7" eb="9">
      <t>カジュウ</t>
    </rPh>
    <rPh sb="10" eb="11">
      <t>カイ</t>
    </rPh>
    <rPh sb="12" eb="15">
      <t>ユカメンセキ</t>
    </rPh>
    <rPh sb="16" eb="17">
      <t>ジョウ</t>
    </rPh>
    <rPh sb="19" eb="20">
      <t>アタイ</t>
    </rPh>
    <rPh sb="20" eb="21">
      <t>ヨウ</t>
    </rPh>
    <phoneticPr fontId="1"/>
  </si>
  <si>
    <t>床面積当たりの荷重(柱の小径用）</t>
    <rPh sb="0" eb="3">
      <t>ユカメンセキ</t>
    </rPh>
    <rPh sb="3" eb="4">
      <t>ア</t>
    </rPh>
    <rPh sb="7" eb="9">
      <t>カジュウ</t>
    </rPh>
    <rPh sb="10" eb="11">
      <t>ハシラ</t>
    </rPh>
    <rPh sb="12" eb="14">
      <t>ショウケイ</t>
    </rPh>
    <rPh sb="14" eb="15">
      <t>ヨウ</t>
    </rPh>
    <phoneticPr fontId="1"/>
  </si>
  <si>
    <t>横架材間距離（㎜）</t>
    <rPh sb="0" eb="4">
      <t>オウカザイアイダ</t>
    </rPh>
    <rPh sb="4" eb="6">
      <t>キョリ</t>
    </rPh>
    <phoneticPr fontId="1"/>
  </si>
  <si>
    <t>使用する場合は基準強度を記入</t>
    <rPh sb="0" eb="2">
      <t>シヨウ</t>
    </rPh>
    <rPh sb="4" eb="6">
      <t>バアイ</t>
    </rPh>
    <rPh sb="7" eb="9">
      <t>キジュン</t>
    </rPh>
    <rPh sb="9" eb="11">
      <t>キョウド</t>
    </rPh>
    <rPh sb="12" eb="14">
      <t>キニュウ</t>
    </rPh>
    <phoneticPr fontId="1"/>
  </si>
  <si>
    <t>使用する場合は基準強度を記入</t>
    <phoneticPr fontId="1"/>
  </si>
  <si>
    <t>設備等の質量（kg）</t>
    <rPh sb="0" eb="2">
      <t>セツビ</t>
    </rPh>
    <rPh sb="2" eb="3">
      <t>トウ</t>
    </rPh>
    <rPh sb="4" eb="6">
      <t>シツリョウ</t>
    </rPh>
    <phoneticPr fontId="1"/>
  </si>
  <si>
    <t>(地震力算定用）</t>
    <phoneticPr fontId="1"/>
  </si>
  <si>
    <t>2－1　算定式と有効細長比より柱の小径を求める場合</t>
    <rPh sb="4" eb="6">
      <t>サンテイ</t>
    </rPh>
    <rPh sb="6" eb="7">
      <t>シキ</t>
    </rPh>
    <rPh sb="8" eb="10">
      <t>ユウコウ</t>
    </rPh>
    <rPh sb="10" eb="12">
      <t>ホソナガ</t>
    </rPh>
    <rPh sb="12" eb="13">
      <t>ヒ</t>
    </rPh>
    <rPh sb="15" eb="16">
      <t>ハシラ</t>
    </rPh>
    <rPh sb="17" eb="19">
      <t>ショウケイ</t>
    </rPh>
    <rPh sb="20" eb="21">
      <t>モト</t>
    </rPh>
    <rPh sb="23" eb="25">
      <t>バアイ</t>
    </rPh>
    <phoneticPr fontId="1"/>
  </si>
  <si>
    <t>（１）　柱の必要小径の算出方法</t>
    <rPh sb="4" eb="5">
      <t>ハシラ</t>
    </rPh>
    <rPh sb="6" eb="8">
      <t>ヒツヨウ</t>
    </rPh>
    <rPh sb="8" eb="10">
      <t>ショウケイ</t>
    </rPh>
    <phoneticPr fontId="1"/>
  </si>
  <si>
    <t>表2-1　変数の算定式、入力されている値</t>
    <rPh sb="0" eb="1">
      <t>ヒョウ</t>
    </rPh>
    <rPh sb="5" eb="7">
      <t>ヘンスウ</t>
    </rPh>
    <rPh sb="8" eb="11">
      <t>サンテイシキ</t>
    </rPh>
    <rPh sb="12" eb="14">
      <t>ニュウリョク</t>
    </rPh>
    <rPh sb="19" eb="20">
      <t>アタイ</t>
    </rPh>
    <phoneticPr fontId="1"/>
  </si>
  <si>
    <t>座屈の検討により算出した柱の必要小径（㎜）</t>
    <rPh sb="0" eb="2">
      <t>ザクツ</t>
    </rPh>
    <rPh sb="3" eb="5">
      <t>ケントウ</t>
    </rPh>
    <rPh sb="8" eb="10">
      <t>サンシュツ</t>
    </rPh>
    <rPh sb="12" eb="13">
      <t>ハシラ</t>
    </rPh>
    <rPh sb="14" eb="16">
      <t>ヒツヨウ</t>
    </rPh>
    <rPh sb="16" eb="18">
      <t>ショウケイ</t>
    </rPh>
    <phoneticPr fontId="1"/>
  </si>
  <si>
    <t>柱の有効細長比より算出した柱の必要小径（㎜）</t>
    <rPh sb="0" eb="1">
      <t>ハシラ</t>
    </rPh>
    <rPh sb="2" eb="4">
      <t>ユウコウ</t>
    </rPh>
    <rPh sb="4" eb="6">
      <t>ホソナガ</t>
    </rPh>
    <rPh sb="6" eb="7">
      <t>ヒ</t>
    </rPh>
    <rPh sb="9" eb="11">
      <t>サンシュツ</t>
    </rPh>
    <rPh sb="13" eb="14">
      <t>ハシラ</t>
    </rPh>
    <rPh sb="15" eb="17">
      <t>ヒツヨウ</t>
    </rPh>
    <rPh sb="17" eb="19">
      <t>ショウケイ</t>
    </rPh>
    <phoneticPr fontId="1"/>
  </si>
  <si>
    <t>表2-2　変数の算定式、入力されている値</t>
    <rPh sb="0" eb="1">
      <t>ヒョウ</t>
    </rPh>
    <rPh sb="5" eb="7">
      <t>ヘンスウ</t>
    </rPh>
    <rPh sb="8" eb="11">
      <t>サンテイシキ</t>
    </rPh>
    <rPh sb="12" eb="14">
      <t>ニュウリョク</t>
    </rPh>
    <rPh sb="19" eb="20">
      <t>アタイ</t>
    </rPh>
    <phoneticPr fontId="1"/>
  </si>
  <si>
    <r>
      <t>柱材の圧縮の基準強度（N／㎜</t>
    </r>
    <r>
      <rPr>
        <vertAlign val="superscript"/>
        <sz val="11"/>
        <color theme="1"/>
        <rFont val="Yu Gothic"/>
        <family val="3"/>
        <charset val="128"/>
        <scheme val="minor"/>
      </rPr>
      <t>2</t>
    </r>
    <r>
      <rPr>
        <sz val="11"/>
        <color theme="1"/>
        <rFont val="Yu Gothic"/>
        <family val="2"/>
        <scheme val="minor"/>
      </rPr>
      <t>）。ここでは無等級材、すぎの圧縮の基準強度17.7N/㎜</t>
    </r>
    <r>
      <rPr>
        <vertAlign val="superscript"/>
        <sz val="11"/>
        <color theme="1"/>
        <rFont val="Yu Gothic"/>
        <family val="3"/>
        <charset val="128"/>
        <scheme val="minor"/>
      </rPr>
      <t>2</t>
    </r>
    <rPh sb="0" eb="1">
      <t>ハシラ</t>
    </rPh>
    <rPh sb="1" eb="2">
      <t>ザイ</t>
    </rPh>
    <rPh sb="3" eb="5">
      <t>アッシュク</t>
    </rPh>
    <rPh sb="6" eb="8">
      <t>キジュン</t>
    </rPh>
    <rPh sb="8" eb="10">
      <t>キョウド</t>
    </rPh>
    <rPh sb="21" eb="25">
      <t>ムトウキュウザイ</t>
    </rPh>
    <rPh sb="29" eb="31">
      <t>アッシュク</t>
    </rPh>
    <rPh sb="32" eb="36">
      <t>キジュンキョウド</t>
    </rPh>
    <phoneticPr fontId="1"/>
  </si>
  <si>
    <t>表2-3　変数の算定式、入力されている値</t>
    <rPh sb="0" eb="1">
      <t>ヒョウ</t>
    </rPh>
    <rPh sb="5" eb="7">
      <t>ヘンスウ</t>
    </rPh>
    <rPh sb="8" eb="11">
      <t>サンテイシキ</t>
    </rPh>
    <rPh sb="12" eb="14">
      <t>ニュウリョク</t>
    </rPh>
    <rPh sb="19" eb="20">
      <t>アタイ</t>
    </rPh>
    <phoneticPr fontId="1"/>
  </si>
  <si>
    <t>2－2　樹種等を選択し、算定式と有効細長比より柱の小径を求める場合</t>
    <rPh sb="4" eb="6">
      <t>ジュシュ</t>
    </rPh>
    <rPh sb="6" eb="7">
      <t>トウ</t>
    </rPh>
    <rPh sb="8" eb="10">
      <t>センタク</t>
    </rPh>
    <rPh sb="12" eb="14">
      <t>サンテイ</t>
    </rPh>
    <rPh sb="14" eb="15">
      <t>シキ</t>
    </rPh>
    <rPh sb="16" eb="18">
      <t>ユウコウ</t>
    </rPh>
    <rPh sb="18" eb="20">
      <t>ホソナガ</t>
    </rPh>
    <rPh sb="20" eb="21">
      <t>ヒ</t>
    </rPh>
    <rPh sb="23" eb="24">
      <t>ハシラ</t>
    </rPh>
    <rPh sb="25" eb="27">
      <t>ショウケイ</t>
    </rPh>
    <rPh sb="28" eb="29">
      <t>モト</t>
    </rPh>
    <rPh sb="31" eb="33">
      <t>バアイ</t>
    </rPh>
    <phoneticPr fontId="1"/>
  </si>
  <si>
    <t>算定方法は2-1と同一である。</t>
    <rPh sb="0" eb="4">
      <t>サンテイホウホウ</t>
    </rPh>
    <rPh sb="9" eb="11">
      <t>ドウイツ</t>
    </rPh>
    <phoneticPr fontId="1"/>
  </si>
  <si>
    <t>2－3　柱の小径別に柱の負担可能面積を求める場合</t>
    <rPh sb="4" eb="5">
      <t>ハシラ</t>
    </rPh>
    <rPh sb="6" eb="8">
      <t>ショウケイ</t>
    </rPh>
    <rPh sb="8" eb="9">
      <t>ベツ</t>
    </rPh>
    <rPh sb="10" eb="11">
      <t>ハシラ</t>
    </rPh>
    <rPh sb="12" eb="14">
      <t>フタン</t>
    </rPh>
    <rPh sb="14" eb="16">
      <t>カノウ</t>
    </rPh>
    <rPh sb="16" eb="18">
      <t>メンセキ</t>
    </rPh>
    <rPh sb="19" eb="20">
      <t>モト</t>
    </rPh>
    <rPh sb="22" eb="24">
      <t>バアイ</t>
    </rPh>
    <phoneticPr fontId="1"/>
  </si>
  <si>
    <t>（２）　柱の有効細長比による柱の小径の検定方法</t>
    <rPh sb="4" eb="5">
      <t>ハシラ</t>
    </rPh>
    <rPh sb="6" eb="11">
      <t>ユウコウホソナガヒ</t>
    </rPh>
    <rPh sb="14" eb="15">
      <t>ハシラ</t>
    </rPh>
    <rPh sb="16" eb="18">
      <t>ショウケイ</t>
    </rPh>
    <rPh sb="19" eb="21">
      <t>ケンテイ</t>
    </rPh>
    <phoneticPr fontId="1"/>
  </si>
  <si>
    <t>柱の小径は、有効細長比が150以下になるようにしなければならない。</t>
    <rPh sb="0" eb="1">
      <t>ハシラ</t>
    </rPh>
    <rPh sb="2" eb="4">
      <t>ショウケイ</t>
    </rPh>
    <rPh sb="6" eb="11">
      <t>ユウコウホソナガヒ</t>
    </rPh>
    <rPh sb="15" eb="17">
      <t>イカ</t>
    </rPh>
    <phoneticPr fontId="1"/>
  </si>
  <si>
    <t>（３)　i階部分の外周柱の単位面積あたりの負担荷重の算出方法</t>
    <rPh sb="5" eb="6">
      <t>カイ</t>
    </rPh>
    <rPh sb="6" eb="8">
      <t>ブブン</t>
    </rPh>
    <rPh sb="9" eb="11">
      <t>ガイシュウ</t>
    </rPh>
    <rPh sb="11" eb="12">
      <t>バシラ</t>
    </rPh>
    <rPh sb="13" eb="15">
      <t>タンイ</t>
    </rPh>
    <rPh sb="15" eb="17">
      <t>メンセキ</t>
    </rPh>
    <rPh sb="21" eb="23">
      <t>フタン</t>
    </rPh>
    <rPh sb="23" eb="25">
      <t>カジュウ</t>
    </rPh>
    <phoneticPr fontId="1"/>
  </si>
  <si>
    <t>下屋部外周柱の床面積当たりの負担荷重</t>
    <rPh sb="0" eb="2">
      <t>ゲヤ</t>
    </rPh>
    <rPh sb="2" eb="3">
      <t>ブ</t>
    </rPh>
    <rPh sb="3" eb="5">
      <t>ガイシュウ</t>
    </rPh>
    <rPh sb="5" eb="6">
      <t>ハシラ</t>
    </rPh>
    <rPh sb="7" eb="10">
      <t>ユカメンセキ</t>
    </rPh>
    <rPh sb="10" eb="11">
      <t>ア</t>
    </rPh>
    <rPh sb="14" eb="18">
      <t>フタンカジュウ</t>
    </rPh>
    <phoneticPr fontId="1"/>
  </si>
  <si>
    <t>下屋部内部柱の床面積当たりの負担荷重</t>
    <rPh sb="0" eb="2">
      <t>ゲヤ</t>
    </rPh>
    <rPh sb="2" eb="3">
      <t>ブ</t>
    </rPh>
    <rPh sb="3" eb="5">
      <t>ナイブ</t>
    </rPh>
    <rPh sb="5" eb="6">
      <t>ハシラ</t>
    </rPh>
    <rPh sb="7" eb="10">
      <t>ユカメンセキ</t>
    </rPh>
    <rPh sb="10" eb="11">
      <t>ア</t>
    </rPh>
    <rPh sb="14" eb="18">
      <t>フタンカジュウ</t>
    </rPh>
    <phoneticPr fontId="1"/>
  </si>
  <si>
    <r>
      <t>基準強度
(N/㎜</t>
    </r>
    <r>
      <rPr>
        <b/>
        <vertAlign val="superscript"/>
        <sz val="10"/>
        <color theme="1"/>
        <rFont val="Yu Gothic"/>
        <family val="3"/>
        <charset val="128"/>
        <scheme val="minor"/>
      </rPr>
      <t>2</t>
    </r>
    <r>
      <rPr>
        <b/>
        <sz val="10"/>
        <color theme="1"/>
        <rFont val="Yu Gothic"/>
        <family val="3"/>
        <charset val="128"/>
        <scheme val="minor"/>
      </rPr>
      <t>)</t>
    </r>
    <rPh sb="0" eb="4">
      <t>キジュンキョウド</t>
    </rPh>
    <phoneticPr fontId="1"/>
  </si>
  <si>
    <r>
      <t>床面積当たりの天井（屋根）断熱材荷重（kN/m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テンジョウ</t>
    </rPh>
    <rPh sb="10" eb="12">
      <t>ヤネ</t>
    </rPh>
    <rPh sb="13" eb="16">
      <t>ダンネツザイ</t>
    </rPh>
    <rPh sb="16" eb="18">
      <t>カジュウ</t>
    </rPh>
    <phoneticPr fontId="1"/>
  </si>
  <si>
    <r>
      <t>床面積当たりの太陽光発電設備等荷重（kN/m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0">
      <t>タイヨウコウ</t>
    </rPh>
    <rPh sb="10" eb="14">
      <t>ハツデンセツビ</t>
    </rPh>
    <rPh sb="14" eb="15">
      <t>トウ</t>
    </rPh>
    <rPh sb="15" eb="17">
      <t>カジュウ</t>
    </rPh>
    <phoneticPr fontId="1"/>
  </si>
  <si>
    <r>
      <t>床面積当たりの外壁断熱材荷重（kN/m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ガイヘキ</t>
    </rPh>
    <rPh sb="9" eb="12">
      <t>ダンネツザイ</t>
    </rPh>
    <rPh sb="12" eb="14">
      <t>カジュウ</t>
    </rPh>
    <phoneticPr fontId="1"/>
  </si>
  <si>
    <r>
      <t>床面積当たりの高断熱窓荷重（kN/m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1">
      <t>コウダンネツマド</t>
    </rPh>
    <rPh sb="11" eb="13">
      <t>カジュウ</t>
    </rPh>
    <phoneticPr fontId="1"/>
  </si>
  <si>
    <r>
      <t>土塗り壁（上塗りとも、厚6.5㎜）（850）</t>
    </r>
    <r>
      <rPr>
        <vertAlign val="superscript"/>
        <sz val="11"/>
        <color theme="1"/>
        <rFont val="Yu Gothic"/>
        <family val="3"/>
        <charset val="128"/>
        <scheme val="minor"/>
      </rPr>
      <t>※2</t>
    </r>
    <r>
      <rPr>
        <sz val="11"/>
        <color theme="1"/>
        <rFont val="Yu Gothic"/>
        <family val="2"/>
        <scheme val="minor"/>
      </rPr>
      <t>+軸組（150）</t>
    </r>
    <r>
      <rPr>
        <vertAlign val="superscript"/>
        <sz val="11"/>
        <color theme="1"/>
        <rFont val="Yu Gothic"/>
        <family val="3"/>
        <charset val="128"/>
        <scheme val="minor"/>
      </rPr>
      <t>※1</t>
    </r>
    <phoneticPr fontId="1"/>
  </si>
  <si>
    <r>
      <t>モルタル壁（640）</t>
    </r>
    <r>
      <rPr>
        <vertAlign val="superscript"/>
        <sz val="11"/>
        <color theme="1"/>
        <rFont val="Yu Gothic"/>
        <family val="3"/>
        <charset val="128"/>
        <scheme val="minor"/>
      </rPr>
      <t xml:space="preserve">※1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</si>
  <si>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サイディング（350）</t>
    </r>
    <r>
      <rPr>
        <vertAlign val="superscript"/>
        <sz val="11"/>
        <color theme="1"/>
        <rFont val="Yu Gothic"/>
        <family val="3"/>
        <charset val="128"/>
        <scheme val="minor"/>
      </rPr>
      <t xml:space="preserve">※2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</si>
  <si>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金属板張（250）</t>
    </r>
    <r>
      <rPr>
        <vertAlign val="superscript"/>
        <sz val="11"/>
        <color theme="1"/>
        <rFont val="Yu Gothic"/>
        <family val="3"/>
        <charset val="128"/>
        <scheme val="minor"/>
      </rPr>
      <t xml:space="preserve">※2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</si>
  <si>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ｄ</t>
    </r>
    <r>
      <rPr>
        <i/>
        <vertAlign val="subscript"/>
        <sz val="11"/>
        <color theme="1"/>
        <rFont val="Yu Gothic"/>
        <family val="3"/>
        <charset val="128"/>
        <scheme val="minor"/>
      </rPr>
      <t>e</t>
    </r>
    <phoneticPr fontId="1"/>
  </si>
  <si>
    <r>
      <t>ｄ</t>
    </r>
    <r>
      <rPr>
        <i/>
        <vertAlign val="subscript"/>
        <sz val="11"/>
        <color theme="1"/>
        <rFont val="Yu Gothic"/>
        <family val="3"/>
        <charset val="128"/>
        <scheme val="minor"/>
      </rPr>
      <t>be</t>
    </r>
    <phoneticPr fontId="1"/>
  </si>
  <si>
    <r>
      <t>ｄ</t>
    </r>
    <r>
      <rPr>
        <i/>
        <vertAlign val="subscript"/>
        <sz val="11"/>
        <color theme="1"/>
        <rFont val="Yu Gothic"/>
        <family val="3"/>
        <charset val="128"/>
        <scheme val="minor"/>
      </rPr>
      <t>se</t>
    </r>
    <phoneticPr fontId="1"/>
  </si>
  <si>
    <t>2－１（4）に同じ。</t>
    <rPh sb="7" eb="8">
      <t>オナ</t>
    </rPh>
    <phoneticPr fontId="1"/>
  </si>
  <si>
    <t>2-1 算定式と有効細長比より柱の小径を求める場合</t>
    <rPh sb="4" eb="7">
      <t>サンテイシキ</t>
    </rPh>
    <rPh sb="8" eb="13">
      <t>ユウコウホソナガヒ</t>
    </rPh>
    <rPh sb="15" eb="16">
      <t>ハシラ</t>
    </rPh>
    <rPh sb="17" eb="19">
      <t>ショウケイ</t>
    </rPh>
    <rPh sb="20" eb="21">
      <t>モト</t>
    </rPh>
    <rPh sb="23" eb="25">
      <t>バアイ</t>
    </rPh>
    <phoneticPr fontId="1"/>
  </si>
  <si>
    <t>2-2　樹種等を選択し、算定式と有効細長比より柱の小径を求める場合</t>
    <rPh sb="4" eb="7">
      <t>ジュシュトウ</t>
    </rPh>
    <rPh sb="8" eb="10">
      <t>センタク</t>
    </rPh>
    <rPh sb="12" eb="15">
      <t>サンテイシキ</t>
    </rPh>
    <rPh sb="16" eb="21">
      <t>ユウコウホソナガヒ</t>
    </rPh>
    <rPh sb="23" eb="24">
      <t>ハシラ</t>
    </rPh>
    <rPh sb="25" eb="27">
      <t>ショウケイ</t>
    </rPh>
    <rPh sb="28" eb="29">
      <t>モト</t>
    </rPh>
    <rPh sb="31" eb="33">
      <t>バアイ</t>
    </rPh>
    <phoneticPr fontId="1"/>
  </si>
  <si>
    <t>2-3　柱の小径別に柱の負担可能面積を求める場合</t>
    <rPh sb="4" eb="5">
      <t>ハシラ</t>
    </rPh>
    <rPh sb="6" eb="8">
      <t>ショウケイ</t>
    </rPh>
    <rPh sb="8" eb="9">
      <t>ベツ</t>
    </rPh>
    <rPh sb="10" eb="11">
      <t>ハシラ</t>
    </rPh>
    <rPh sb="12" eb="16">
      <t>フタンカノウ</t>
    </rPh>
    <rPh sb="16" eb="18">
      <t>メンセキ</t>
    </rPh>
    <rPh sb="19" eb="20">
      <t>モト</t>
    </rPh>
    <rPh sb="22" eb="24">
      <t>バアイ</t>
    </rPh>
    <phoneticPr fontId="1"/>
  </si>
  <si>
    <t>1－3　当該表計算ツールにおける荷重の想定</t>
    <rPh sb="4" eb="6">
      <t>トウガイ</t>
    </rPh>
    <rPh sb="16" eb="18">
      <t>カジュウ</t>
    </rPh>
    <rPh sb="19" eb="21">
      <t>ソウテイ</t>
    </rPh>
    <phoneticPr fontId="1"/>
  </si>
  <si>
    <t>区分</t>
  </si>
  <si>
    <t>基　　　　　準</t>
  </si>
  <si>
    <t>節</t>
  </si>
  <si>
    <r>
      <t>径比が</t>
    </r>
    <r>
      <rPr>
        <sz val="10"/>
        <color rgb="FF000000"/>
        <rFont val="Times New Roman"/>
        <family val="1"/>
      </rPr>
      <t>40%</t>
    </r>
    <r>
      <rPr>
        <sz val="10"/>
        <color rgb="FF000000"/>
        <rFont val="ＭＳ 明朝"/>
        <family val="1"/>
        <charset val="128"/>
      </rPr>
      <t>以下であり、かつ、集中径比が</t>
    </r>
    <r>
      <rPr>
        <sz val="10"/>
        <color rgb="FF000000"/>
        <rFont val="Times New Roman"/>
        <family val="1"/>
      </rPr>
      <t>60%</t>
    </r>
    <r>
      <rPr>
        <sz val="10"/>
        <color rgb="FF000000"/>
        <rFont val="ＭＳ 明朝"/>
        <family val="1"/>
        <charset val="128"/>
      </rPr>
      <t>以下であること。</t>
    </r>
  </si>
  <si>
    <t>入り皮又はやにつぼ</t>
  </si>
  <si>
    <t>軽微であること。</t>
  </si>
  <si>
    <t>丸　　身</t>
  </si>
  <si>
    <r>
      <t>20%</t>
    </r>
    <r>
      <rPr>
        <sz val="10"/>
        <color rgb="FF000000"/>
        <rFont val="ＭＳ 明朝"/>
        <family val="1"/>
        <charset val="128"/>
      </rPr>
      <t>以下であり、かつ、</t>
    </r>
    <r>
      <rPr>
        <sz val="10"/>
        <color rgb="FF000000"/>
        <rFont val="Times New Roman"/>
        <family val="1"/>
      </rPr>
      <t>1</t>
    </r>
    <r>
      <rPr>
        <sz val="10"/>
        <color rgb="FF000000"/>
        <rFont val="ＭＳ 明朝"/>
        <family val="1"/>
        <charset val="128"/>
      </rPr>
      <t>角においては</t>
    </r>
    <r>
      <rPr>
        <sz val="10"/>
        <color rgb="FF000000"/>
        <rFont val="Times New Roman"/>
        <family val="1"/>
      </rPr>
      <t>10%</t>
    </r>
    <r>
      <rPr>
        <sz val="10"/>
        <color rgb="FF000000"/>
        <rFont val="ＭＳ 明朝"/>
        <family val="1"/>
        <charset val="128"/>
      </rPr>
      <t>以下であること。</t>
    </r>
  </si>
  <si>
    <t>曲り</t>
  </si>
  <si>
    <t>ねじれ</t>
  </si>
  <si>
    <t>木口割れ又は目まわり</t>
  </si>
  <si>
    <r>
      <t>10%</t>
    </r>
    <r>
      <rPr>
        <sz val="10"/>
        <color rgb="FF000000"/>
        <rFont val="ＭＳ 明朝"/>
        <family val="1"/>
        <charset val="128"/>
      </rPr>
      <t>以下であること。</t>
    </r>
  </si>
  <si>
    <r>
      <t>繊維走向の傾斜（幅が</t>
    </r>
    <r>
      <rPr>
        <sz val="10"/>
        <color theme="1"/>
        <rFont val="Times New Roman"/>
        <family val="1"/>
      </rPr>
      <t>90mm</t>
    </r>
    <r>
      <rPr>
        <sz val="10"/>
        <color theme="1"/>
        <rFont val="ＭＳ 明朝"/>
        <family val="1"/>
        <charset val="128"/>
      </rPr>
      <t>未満を除く。）</t>
    </r>
  </si>
  <si>
    <r>
      <t>80mm</t>
    </r>
    <r>
      <rPr>
        <sz val="10"/>
        <color rgb="FF000000"/>
        <rFont val="ＭＳ 明朝"/>
        <family val="1"/>
        <charset val="128"/>
      </rPr>
      <t>以下であること。</t>
    </r>
  </si>
  <si>
    <t>平均年輪幅</t>
  </si>
  <si>
    <t>あて</t>
  </si>
  <si>
    <t>腐れ又は虫あな</t>
  </si>
  <si>
    <t>端落ち</t>
  </si>
  <si>
    <t>その他の欠点</t>
  </si>
  <si>
    <t>インサイジング</t>
  </si>
  <si>
    <r>
      <t>インサイジングは欠点とみなさない。ただし、その仕様は製材の曲げ強さ及び曲げヤング係数の低下がおおむね</t>
    </r>
    <r>
      <rPr>
        <sz val="10"/>
        <color theme="1"/>
        <rFont val="Times New Roman"/>
        <family val="1"/>
      </rPr>
      <t>1</t>
    </r>
    <r>
      <rPr>
        <sz val="10"/>
        <color theme="1"/>
        <rFont val="ＭＳ 明朝"/>
        <family val="1"/>
        <charset val="128"/>
      </rPr>
      <t>割を超えない範囲内とする。</t>
    </r>
  </si>
  <si>
    <t>無節、上小節又は小節</t>
  </si>
  <si>
    <t>防腐・防ぎ処理又は防腐処理</t>
  </si>
  <si>
    <r>
      <t>防腐・防ぎ処理または防腐処理を施した旨の表示がしてあるものにあっては、日本工業規格（以下「</t>
    </r>
    <r>
      <rPr>
        <sz val="10"/>
        <color theme="1"/>
        <rFont val="Times New Roman"/>
        <family val="1"/>
      </rPr>
      <t>JIS</t>
    </r>
    <r>
      <rPr>
        <sz val="10"/>
        <color theme="1"/>
        <rFont val="ＭＳ 明朝"/>
        <family val="1"/>
        <charset val="128"/>
      </rPr>
      <t>」という。）</t>
    </r>
    <r>
      <rPr>
        <sz val="10"/>
        <color theme="1"/>
        <rFont val="Times New Roman"/>
        <family val="1"/>
      </rPr>
      <t>K1554 1</t>
    </r>
    <r>
      <rPr>
        <sz val="10"/>
        <color theme="1"/>
        <rFont val="ＭＳ 明朝"/>
        <family val="1"/>
        <charset val="128"/>
      </rPr>
      <t>号として定められている有効成分の配合比を満たす薬剤（以下「</t>
    </r>
    <r>
      <rPr>
        <sz val="10"/>
        <color theme="1"/>
        <rFont val="Times New Roman"/>
        <family val="1"/>
      </rPr>
      <t>JIS K1554 1</t>
    </r>
    <r>
      <rPr>
        <sz val="10"/>
        <color theme="1"/>
        <rFont val="ＭＳ 明朝"/>
        <family val="1"/>
        <charset val="128"/>
      </rPr>
      <t>号」という。）又は</t>
    </r>
    <r>
      <rPr>
        <sz val="10"/>
        <color theme="1"/>
        <rFont val="Times New Roman"/>
        <family val="1"/>
      </rPr>
      <t>JIS K1554 2</t>
    </r>
    <r>
      <rPr>
        <sz val="10"/>
        <color theme="1"/>
        <rFont val="ＭＳ 明朝"/>
        <family val="1"/>
        <charset val="128"/>
      </rPr>
      <t>号として定められている有効成分の配合比を満たす薬剤（以下「</t>
    </r>
    <r>
      <rPr>
        <sz val="10"/>
        <color theme="1"/>
        <rFont val="Times New Roman"/>
        <family val="1"/>
      </rPr>
      <t>JIS K1554 2</t>
    </r>
    <r>
      <rPr>
        <sz val="10"/>
        <color theme="1"/>
        <rFont val="ＭＳ 明朝"/>
        <family val="1"/>
        <charset val="128"/>
      </rPr>
      <t>号」という。）又は</t>
    </r>
    <r>
      <rPr>
        <sz val="10"/>
        <color theme="1"/>
        <rFont val="Times New Roman"/>
        <family val="1"/>
      </rPr>
      <t>JIS K1554 3</t>
    </r>
    <r>
      <rPr>
        <sz val="10"/>
        <color theme="1"/>
        <rFont val="ＭＳ 明朝"/>
        <family val="1"/>
        <charset val="128"/>
      </rPr>
      <t>号として定められている有効成分の配合比を満たす薬剤（以下「</t>
    </r>
    <r>
      <rPr>
        <sz val="10"/>
        <color theme="1"/>
        <rFont val="Times New Roman"/>
        <family val="1"/>
      </rPr>
      <t>JIA K1544 3</t>
    </r>
    <r>
      <rPr>
        <sz val="10"/>
        <color theme="1"/>
        <rFont val="ＭＳ 明朝"/>
        <family val="1"/>
        <charset val="128"/>
      </rPr>
      <t>号」という。）防腐・防ぎ処理または防腐処理が行われており、かつ、防腐・防ぎ処理にあっては別記</t>
    </r>
    <r>
      <rPr>
        <sz val="10"/>
        <color theme="1"/>
        <rFont val="Times New Roman"/>
        <family val="1"/>
      </rPr>
      <t>2</t>
    </r>
    <r>
      <rPr>
        <sz val="10"/>
        <color theme="1"/>
        <rFont val="ＭＳ 明朝"/>
        <family val="1"/>
        <charset val="128"/>
      </rPr>
      <t>の</t>
    </r>
    <r>
      <rPr>
        <sz val="10"/>
        <color theme="1"/>
        <rFont val="Times New Roman"/>
        <family val="1"/>
      </rPr>
      <t>(1)</t>
    </r>
    <r>
      <rPr>
        <sz val="10"/>
        <color theme="1"/>
        <rFont val="ＭＳ 明朝"/>
        <family val="1"/>
        <charset val="128"/>
      </rPr>
      <t>の防腐・防ぎ処理試験又は防腐処理試験のうち防腐・防ぎ</t>
    </r>
    <r>
      <rPr>
        <sz val="10"/>
        <color theme="1"/>
        <rFont val="Times New Roman"/>
        <family val="1"/>
      </rPr>
      <t>1</t>
    </r>
    <r>
      <rPr>
        <sz val="10"/>
        <color theme="1"/>
        <rFont val="ＭＳ 明朝"/>
        <family val="1"/>
        <charset val="128"/>
      </rPr>
      <t>種処理又は防腐・防ぎ</t>
    </r>
    <r>
      <rPr>
        <sz val="10"/>
        <color theme="1"/>
        <rFont val="Times New Roman"/>
        <family val="1"/>
      </rPr>
      <t>2</t>
    </r>
    <r>
      <rPr>
        <sz val="10"/>
        <color theme="1"/>
        <rFont val="ＭＳ 明朝"/>
        <family val="1"/>
        <charset val="128"/>
      </rPr>
      <t>種処理のいずれかに係る試験に合格し、防腐処理にあっては別記</t>
    </r>
    <r>
      <rPr>
        <sz val="10"/>
        <color theme="1"/>
        <rFont val="Times New Roman"/>
        <family val="1"/>
      </rPr>
      <t>2</t>
    </r>
    <r>
      <rPr>
        <sz val="10"/>
        <color theme="1"/>
        <rFont val="ＭＳ 明朝"/>
        <family val="1"/>
        <charset val="128"/>
      </rPr>
      <t>の</t>
    </r>
    <r>
      <rPr>
        <sz val="10"/>
        <color theme="1"/>
        <rFont val="Times New Roman"/>
        <family val="1"/>
      </rPr>
      <t>(1)</t>
    </r>
    <r>
      <rPr>
        <sz val="10"/>
        <color theme="1"/>
        <rFont val="ＭＳ 明朝"/>
        <family val="1"/>
        <charset val="128"/>
      </rPr>
      <t>の防腐・防ぎ処理試験又は防腐処理試験のうち防腐</t>
    </r>
    <r>
      <rPr>
        <sz val="10"/>
        <color theme="1"/>
        <rFont val="Times New Roman"/>
        <family val="1"/>
      </rPr>
      <t>3</t>
    </r>
    <r>
      <rPr>
        <sz val="10"/>
        <color theme="1"/>
        <rFont val="ＭＳ 明朝"/>
        <family val="1"/>
        <charset val="128"/>
      </rPr>
      <t>種処理に係る試験に合格すること。</t>
    </r>
  </si>
  <si>
    <t>防虫処理</t>
  </si>
  <si>
    <t>人工乾燥</t>
  </si>
  <si>
    <t>寸　　法</t>
  </si>
  <si>
    <t>表示された寸法と測定した寸法との差がそれぞれに次に掲げる数値に適合していること。</t>
  </si>
  <si>
    <r>
      <t>1</t>
    </r>
    <r>
      <rPr>
        <sz val="10"/>
        <color theme="1"/>
        <rFont val="ＭＳ 明朝"/>
        <family val="1"/>
        <charset val="128"/>
      </rPr>
      <t>　厚さ及び幅　－</t>
    </r>
    <r>
      <rPr>
        <sz val="10"/>
        <color theme="1"/>
        <rFont val="Times New Roman"/>
        <family val="1"/>
      </rPr>
      <t>1.0mm</t>
    </r>
    <r>
      <rPr>
        <sz val="10"/>
        <color theme="1"/>
        <rFont val="ＭＳ 明朝"/>
        <family val="1"/>
        <charset val="128"/>
      </rPr>
      <t>以下</t>
    </r>
  </si>
  <si>
    <r>
      <t>2</t>
    </r>
    <r>
      <rPr>
        <sz val="10"/>
        <color theme="1"/>
        <rFont val="ＭＳ 明朝"/>
        <family val="1"/>
        <charset val="128"/>
      </rPr>
      <t>　長さ　　　　－</t>
    </r>
    <r>
      <rPr>
        <sz val="10"/>
        <color theme="1"/>
        <rFont val="Times New Roman"/>
        <family val="1"/>
      </rPr>
      <t>0</t>
    </r>
  </si>
  <si>
    <t>0.2%以下であること。ただし、「土台用」と表示してあるものにあっては、0.5%以下である。</t>
    <phoneticPr fontId="1"/>
  </si>
  <si>
    <t>きわめて軽微であること。ただし、「土台用」と表示してあるものにあっては、顕著でないこと。</t>
    <phoneticPr fontId="1"/>
  </si>
  <si>
    <t>6mm以下であること。</t>
    <phoneticPr fontId="1"/>
  </si>
  <si>
    <t>端落ち（材の1端の欠除した部分）の厚さ方向の長さの最大値と最小値の和の½の材の1辺長さに対する割合が10%以下であり、かつ、材の長さ方向の長さが0.2m以下であること。</t>
    <phoneticPr fontId="1"/>
  </si>
  <si>
    <r>
      <t>出力結果：柱の負担可能面積（m</t>
    </r>
    <r>
      <rPr>
        <vertAlign val="superscript"/>
        <sz val="11"/>
        <color theme="1"/>
        <rFont val="Yu Gothic"/>
        <family val="3"/>
        <charset val="128"/>
        <scheme val="minor"/>
      </rPr>
      <t>2</t>
    </r>
    <r>
      <rPr>
        <sz val="11"/>
        <color theme="1"/>
        <rFont val="Yu Gothic"/>
        <family val="2"/>
        <scheme val="minor"/>
      </rPr>
      <t>）</t>
    </r>
    <rPh sb="0" eb="4">
      <t>シュツリョクケッカ</t>
    </rPh>
    <rPh sb="5" eb="6">
      <t>ハシラ</t>
    </rPh>
    <rPh sb="7" eb="11">
      <t>フタンカノウ</t>
    </rPh>
    <rPh sb="11" eb="13">
      <t>メンセキ</t>
    </rPh>
    <phoneticPr fontId="1"/>
  </si>
  <si>
    <t>０．はじめに</t>
    <phoneticPr fontId="1"/>
  </si>
  <si>
    <r>
      <t>入
力
値
*</t>
    </r>
    <r>
      <rPr>
        <vertAlign val="superscript"/>
        <sz val="11"/>
        <color theme="1"/>
        <rFont val="Yu Gothic"/>
        <family val="3"/>
        <charset val="128"/>
        <scheme val="minor"/>
      </rPr>
      <t>1</t>
    </r>
    <rPh sb="0" eb="1">
      <t>ハイ</t>
    </rPh>
    <rPh sb="2" eb="3">
      <t>チカラ</t>
    </rPh>
    <rPh sb="4" eb="5">
      <t>アタイ</t>
    </rPh>
    <phoneticPr fontId="1"/>
  </si>
  <si>
    <r>
      <t>*</t>
    </r>
    <r>
      <rPr>
        <vertAlign val="superscript"/>
        <sz val="11"/>
        <color theme="1"/>
        <rFont val="Yu Gothic"/>
        <family val="3"/>
        <charset val="128"/>
        <scheme val="minor"/>
      </rPr>
      <t>1</t>
    </r>
    <r>
      <rPr>
        <sz val="11"/>
        <color theme="1"/>
        <rFont val="Yu Gothic"/>
        <family val="3"/>
        <charset val="128"/>
        <scheme val="minor"/>
      </rPr>
      <t>：固定荷重・積載荷重の根拠は</t>
    </r>
    <rPh sb="3" eb="7">
      <t>コテイカジュウ</t>
    </rPh>
    <rPh sb="8" eb="12">
      <t>セキサイカジュウ</t>
    </rPh>
    <rPh sb="13" eb="15">
      <t>コンキョ</t>
    </rPh>
    <phoneticPr fontId="1"/>
  </si>
  <si>
    <t>こちら。</t>
    <phoneticPr fontId="1"/>
  </si>
  <si>
    <r>
      <t>*</t>
    </r>
    <r>
      <rPr>
        <vertAlign val="superscript"/>
        <sz val="11"/>
        <color theme="1"/>
        <rFont val="Yu Gothic"/>
        <family val="3"/>
        <charset val="128"/>
        <scheme val="minor"/>
      </rPr>
      <t>2</t>
    </r>
    <r>
      <rPr>
        <sz val="11"/>
        <color theme="1"/>
        <rFont val="Yu Gothic"/>
        <family val="3"/>
        <charset val="128"/>
        <scheme val="minor"/>
      </rPr>
      <t>：屋根面積に対しての均し荷重として算定される。</t>
    </r>
    <rPh sb="3" eb="5">
      <t>ヤネ</t>
    </rPh>
    <rPh sb="5" eb="7">
      <t>メンセキ</t>
    </rPh>
    <rPh sb="8" eb="9">
      <t>タイ</t>
    </rPh>
    <rPh sb="12" eb="13">
      <t>ナラ</t>
    </rPh>
    <rPh sb="14" eb="16">
      <t>カジュウ</t>
    </rPh>
    <rPh sb="19" eb="21">
      <t>サンテイ</t>
    </rPh>
    <phoneticPr fontId="1"/>
  </si>
  <si>
    <t>・すぎ、無等級材を前提とした計算式である。無等級材の要求性能は、本シート末尾の別表に掲載している。</t>
    <rPh sb="4" eb="8">
      <t>ムトウキュウザイ</t>
    </rPh>
    <rPh sb="9" eb="11">
      <t>ゼンテイ</t>
    </rPh>
    <rPh sb="14" eb="17">
      <t>ケイサンシキ</t>
    </rPh>
    <rPh sb="21" eb="25">
      <t>ムトウキュウザイ</t>
    </rPh>
    <rPh sb="26" eb="28">
      <t>ヨウキュウ</t>
    </rPh>
    <rPh sb="28" eb="30">
      <t>セイノウ</t>
    </rPh>
    <rPh sb="32" eb="33">
      <t>ホン</t>
    </rPh>
    <rPh sb="36" eb="38">
      <t>マツビ</t>
    </rPh>
    <rPh sb="39" eb="41">
      <t>ベッピョウ</t>
    </rPh>
    <rPh sb="42" eb="44">
      <t>ケイサイ</t>
    </rPh>
    <phoneticPr fontId="1"/>
  </si>
  <si>
    <t>・正角柱を前提とした算定方法である。</t>
    <rPh sb="1" eb="3">
      <t>ショウカク</t>
    </rPh>
    <rPh sb="3" eb="4">
      <t>ハシラ</t>
    </rPh>
    <rPh sb="5" eb="7">
      <t>ゼンテイ</t>
    </rPh>
    <rPh sb="10" eb="14">
      <t>サンテイホウホウ</t>
    </rPh>
    <phoneticPr fontId="1"/>
  </si>
  <si>
    <t>・2階建ての下屋部分の柱の負担可能面積の算定は、平屋の表計算ツールを用いてもよい。</t>
    <phoneticPr fontId="1"/>
  </si>
  <si>
    <t>・2階建ての下屋部分の柱の小径の算定は、平屋の表計算ツールを用いてもよい。</t>
    <rPh sb="13" eb="15">
      <t>ショウケイ</t>
    </rPh>
    <phoneticPr fontId="1"/>
  </si>
  <si>
    <t>（０）2-2の算定方法における前提条件と注意事項</t>
    <rPh sb="7" eb="11">
      <t>サンテイホウホウ</t>
    </rPh>
    <rPh sb="15" eb="19">
      <t>ゼンテイジョウケン</t>
    </rPh>
    <rPh sb="20" eb="24">
      <t>チュウイジコウ</t>
    </rPh>
    <phoneticPr fontId="1"/>
  </si>
  <si>
    <t>・2-1、2-2と異なり、長方形断面の柱も設定できる。短辺方向を座屈方向として算定される。</t>
    <rPh sb="9" eb="10">
      <t>コト</t>
    </rPh>
    <rPh sb="13" eb="16">
      <t>チョウホウケイ</t>
    </rPh>
    <rPh sb="16" eb="18">
      <t>ダンメン</t>
    </rPh>
    <rPh sb="19" eb="20">
      <t>ハシラ</t>
    </rPh>
    <rPh sb="21" eb="23">
      <t>セッテイ</t>
    </rPh>
    <rPh sb="27" eb="29">
      <t>タンペン</t>
    </rPh>
    <rPh sb="29" eb="31">
      <t>ホウコウ</t>
    </rPh>
    <rPh sb="32" eb="34">
      <t>ザクツ</t>
    </rPh>
    <rPh sb="34" eb="36">
      <t>ホウコウ</t>
    </rPh>
    <rPh sb="39" eb="41">
      <t>サンテイ</t>
    </rPh>
    <phoneticPr fontId="1"/>
  </si>
  <si>
    <t>算定方法における前提条件と注意事項は</t>
    <phoneticPr fontId="1"/>
  </si>
  <si>
    <t>（０）2-3の算定方法における前提条件と注意事項</t>
    <rPh sb="7" eb="11">
      <t>サンテイホウホウ</t>
    </rPh>
    <rPh sb="15" eb="19">
      <t>ゼンテイジョウケン</t>
    </rPh>
    <rPh sb="20" eb="24">
      <t>チュウイジコウ</t>
    </rPh>
    <phoneticPr fontId="1"/>
  </si>
  <si>
    <t>（０） 2-1の算定方法における前提条件と注意事項</t>
    <rPh sb="8" eb="12">
      <t>サンテイホウホウ</t>
    </rPh>
    <rPh sb="16" eb="20">
      <t>ゼンテイジョウケン</t>
    </rPh>
    <rPh sb="21" eb="25">
      <t>チュウイジコウ</t>
    </rPh>
    <phoneticPr fontId="1"/>
  </si>
  <si>
    <t xml:space="preserve">標準せん断力係数は、0.2以上。ただし、地盤が著しく軟弱な区域として特定行政庁が国土交通大臣の定める基準に基づいて規則で指定する区域内における木造の建築物にあっては、0.3以上としなければならない。 </t>
    <phoneticPr fontId="1"/>
  </si>
  <si>
    <t>小屋梁・桁上端～２階床梁上端までの距離</t>
    <rPh sb="0" eb="2">
      <t>コヤ</t>
    </rPh>
    <rPh sb="2" eb="3">
      <t>ハリ</t>
    </rPh>
    <rPh sb="4" eb="5">
      <t>ケタ</t>
    </rPh>
    <rPh sb="5" eb="7">
      <t>ジョウタン</t>
    </rPh>
    <rPh sb="9" eb="10">
      <t>カイ</t>
    </rPh>
    <rPh sb="10" eb="11">
      <t>ユカ</t>
    </rPh>
    <rPh sb="11" eb="12">
      <t>ハリ</t>
    </rPh>
    <rPh sb="12" eb="14">
      <t>ジョウタン</t>
    </rPh>
    <rPh sb="17" eb="19">
      <t>キョリ</t>
    </rPh>
    <phoneticPr fontId="1"/>
  </si>
  <si>
    <t>２階床梁上端～１階土台上端までの距離</t>
    <rPh sb="8" eb="9">
      <t>カイ</t>
    </rPh>
    <rPh sb="9" eb="11">
      <t>ドダイ</t>
    </rPh>
    <rPh sb="11" eb="13">
      <t>ジョウタン</t>
    </rPh>
    <rPh sb="16" eb="18">
      <t>キョリ</t>
    </rPh>
    <phoneticPr fontId="1"/>
  </si>
  <si>
    <r>
      <t>床面積当たりの屋根荷重(天井含む)（kN/m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1">
      <t>ヤネカジュウ</t>
    </rPh>
    <rPh sb="12" eb="15">
      <t>テンジョウフク</t>
    </rPh>
    <phoneticPr fontId="1"/>
  </si>
  <si>
    <r>
      <t>床面積当たりの2階の床荷重（kN/m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ユカ</t>
    </rPh>
    <rPh sb="11" eb="13">
      <t>カジュウ</t>
    </rPh>
    <phoneticPr fontId="1"/>
  </si>
  <si>
    <r>
      <t>床面積当たりの2階の床の積載荷重（kN/m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ユカ</t>
    </rPh>
    <rPh sb="12" eb="14">
      <t>セキサイ</t>
    </rPh>
    <rPh sb="14" eb="16">
      <t>カジュウ</t>
    </rPh>
    <phoneticPr fontId="1"/>
  </si>
  <si>
    <r>
      <t>部位の面積当たりの荷重(N/m</t>
    </r>
    <r>
      <rPr>
        <vertAlign val="superscript"/>
        <sz val="11"/>
        <color theme="1"/>
        <rFont val="Yu Gothic"/>
        <family val="3"/>
        <charset val="128"/>
        <scheme val="minor"/>
      </rPr>
      <t>2</t>
    </r>
    <r>
      <rPr>
        <sz val="11"/>
        <color theme="1"/>
        <rFont val="Yu Gothic"/>
        <family val="2"/>
        <scheme val="minor"/>
      </rPr>
      <t>)</t>
    </r>
    <rPh sb="0" eb="2">
      <t>ブイ</t>
    </rPh>
    <rPh sb="3" eb="5">
      <t>メンセキ</t>
    </rPh>
    <rPh sb="5" eb="6">
      <t>ア</t>
    </rPh>
    <rPh sb="9" eb="11">
      <t>カジュウ</t>
    </rPh>
    <phoneticPr fontId="1"/>
  </si>
  <si>
    <t>■　無等級材の要求性能について</t>
    <rPh sb="2" eb="6">
      <t>ムトウキュウザイ</t>
    </rPh>
    <rPh sb="7" eb="11">
      <t>ヨウキュウセイノウ</t>
    </rPh>
    <phoneticPr fontId="1"/>
  </si>
  <si>
    <t>表２－4　変数の算定式、入力されている値</t>
    <rPh sb="0" eb="1">
      <t>ヒョウ</t>
    </rPh>
    <rPh sb="5" eb="7">
      <t>ヘンスウ</t>
    </rPh>
    <rPh sb="8" eb="11">
      <t>サンテイシキ</t>
    </rPh>
    <rPh sb="12" eb="14">
      <t>ニュウリョク</t>
    </rPh>
    <rPh sb="19" eb="20">
      <t>アタイ</t>
    </rPh>
    <phoneticPr fontId="1"/>
  </si>
  <si>
    <t>階の床面積に乗ずる数値</t>
    <rPh sb="0" eb="1">
      <t>カイ</t>
    </rPh>
    <rPh sb="2" eb="5">
      <t>ユカメンセキ</t>
    </rPh>
    <rPh sb="6" eb="7">
      <t>ジョウ</t>
    </rPh>
    <rPh sb="9" eb="11">
      <t>スウチ</t>
    </rPh>
    <phoneticPr fontId="1"/>
  </si>
  <si>
    <t>１階</t>
    <rPh sb="1" eb="2">
      <t>カイ</t>
    </rPh>
    <phoneticPr fontId="1"/>
  </si>
  <si>
    <t>２階</t>
    <rPh sb="1" eb="2">
      <t>カイ</t>
    </rPh>
    <phoneticPr fontId="1"/>
  </si>
  <si>
    <t>数値入力する場合には、太陽光発電設備等の全重量を入力する。結果は、全重量を1階2階床面積の大きい方で除した値で計算される。</t>
    <rPh sb="0" eb="2">
      <t>スウチ</t>
    </rPh>
    <rPh sb="2" eb="4">
      <t>ニュウリョク</t>
    </rPh>
    <rPh sb="6" eb="8">
      <t>バアイ</t>
    </rPh>
    <rPh sb="11" eb="14">
      <t>タイヨウコウ</t>
    </rPh>
    <rPh sb="14" eb="16">
      <t>ハツデン</t>
    </rPh>
    <rPh sb="16" eb="18">
      <t>セツビ</t>
    </rPh>
    <rPh sb="18" eb="19">
      <t>トウ</t>
    </rPh>
    <rPh sb="20" eb="23">
      <t>ゼンジュウリョウ</t>
    </rPh>
    <rPh sb="24" eb="26">
      <t>ニュウリョク</t>
    </rPh>
    <rPh sb="29" eb="31">
      <t>ケッカ</t>
    </rPh>
    <rPh sb="33" eb="36">
      <t>ゼンジュウリョウ</t>
    </rPh>
    <rPh sb="38" eb="39">
      <t>カイ</t>
    </rPh>
    <rPh sb="40" eb="41">
      <t>カイ</t>
    </rPh>
    <rPh sb="41" eb="44">
      <t>ユカメンセキ</t>
    </rPh>
    <rPh sb="45" eb="46">
      <t>オオ</t>
    </rPh>
    <rPh sb="48" eb="49">
      <t>ホウ</t>
    </rPh>
    <rPh sb="50" eb="51">
      <t>ジョ</t>
    </rPh>
    <rPh sb="53" eb="54">
      <t>アタイ</t>
    </rPh>
    <rPh sb="55" eb="57">
      <t>ケイサン</t>
    </rPh>
    <phoneticPr fontId="1"/>
  </si>
  <si>
    <t>（４)　i階部分の柱の単位面積あたりの負担荷重の算出方法</t>
    <rPh sb="5" eb="6">
      <t>カイ</t>
    </rPh>
    <rPh sb="6" eb="8">
      <t>ブブン</t>
    </rPh>
    <rPh sb="9" eb="10">
      <t>バシラ</t>
    </rPh>
    <rPh sb="11" eb="13">
      <t>タンイ</t>
    </rPh>
    <rPh sb="13" eb="15">
      <t>メンセキ</t>
    </rPh>
    <rPh sb="19" eb="21">
      <t>フタン</t>
    </rPh>
    <rPh sb="21" eb="23">
      <t>カジュウ</t>
    </rPh>
    <phoneticPr fontId="1"/>
  </si>
  <si>
    <t>・外周部の柱</t>
    <rPh sb="1" eb="3">
      <t>ガイシュウ</t>
    </rPh>
    <rPh sb="3" eb="4">
      <t>ブ</t>
    </rPh>
    <rPh sb="5" eb="6">
      <t>ハシラ</t>
    </rPh>
    <phoneticPr fontId="1"/>
  </si>
  <si>
    <t>・内部の柱</t>
    <rPh sb="1" eb="3">
      <t>ナイブ</t>
    </rPh>
    <rPh sb="4" eb="5">
      <t>バシラ</t>
    </rPh>
    <phoneticPr fontId="1"/>
  </si>
  <si>
    <r>
      <t>W</t>
    </r>
    <r>
      <rPr>
        <vertAlign val="subscript"/>
        <sz val="11"/>
        <color theme="1"/>
        <rFont val="Yu Gothic"/>
        <family val="3"/>
        <charset val="128"/>
        <scheme val="minor"/>
      </rPr>
      <t>d</t>
    </r>
    <phoneticPr fontId="1"/>
  </si>
  <si>
    <r>
      <t>A</t>
    </r>
    <r>
      <rPr>
        <vertAlign val="subscript"/>
        <sz val="11"/>
        <color theme="1"/>
        <rFont val="Yu Gothic"/>
        <family val="3"/>
        <charset val="128"/>
        <scheme val="minor"/>
      </rPr>
      <t xml:space="preserve">e </t>
    </r>
    <phoneticPr fontId="1"/>
  </si>
  <si>
    <r>
      <t>F</t>
    </r>
    <r>
      <rPr>
        <vertAlign val="subscript"/>
        <sz val="11"/>
        <color theme="1"/>
        <rFont val="Yu Gothic"/>
        <family val="3"/>
        <charset val="128"/>
        <scheme val="minor"/>
      </rPr>
      <t>c</t>
    </r>
    <phoneticPr fontId="1"/>
  </si>
  <si>
    <r>
      <t>床面積当たりの荷重（N/ ㎜</t>
    </r>
    <r>
      <rPr>
        <vertAlign val="superscript"/>
        <sz val="11"/>
        <color theme="1"/>
        <rFont val="Yu Gothic"/>
        <family val="3"/>
        <charset val="128"/>
        <scheme val="minor"/>
      </rPr>
      <t>2</t>
    </r>
    <r>
      <rPr>
        <sz val="11"/>
        <color theme="1"/>
        <rFont val="Yu Gothic"/>
        <family val="2"/>
        <scheme val="minor"/>
      </rPr>
      <t>）。2-1、2-2では（４）の外周部の柱の単位面積あたりの負担荷重</t>
    </r>
    <r>
      <rPr>
        <i/>
        <sz val="11"/>
        <color theme="1"/>
        <rFont val="Yu Gothic"/>
        <family val="3"/>
        <charset val="128"/>
        <scheme val="minor"/>
      </rPr>
      <t>W</t>
    </r>
    <r>
      <rPr>
        <vertAlign val="subscript"/>
        <sz val="11"/>
        <color theme="1"/>
        <rFont val="Yu Gothic"/>
        <family val="3"/>
        <charset val="128"/>
        <scheme val="minor"/>
      </rPr>
      <t>doi</t>
    </r>
    <r>
      <rPr>
        <sz val="11"/>
        <color theme="1"/>
        <rFont val="Yu Gothic"/>
        <family val="2"/>
        <scheme val="minor"/>
      </rPr>
      <t>を用いている。</t>
    </r>
    <rPh sb="0" eb="3">
      <t>ユカメンセキ</t>
    </rPh>
    <rPh sb="3" eb="4">
      <t>ア</t>
    </rPh>
    <rPh sb="7" eb="9">
      <t>カジュウ</t>
    </rPh>
    <rPh sb="30" eb="32">
      <t>ガイシュウ</t>
    </rPh>
    <rPh sb="32" eb="33">
      <t>ブ</t>
    </rPh>
    <rPh sb="34" eb="35">
      <t>ハシラ</t>
    </rPh>
    <rPh sb="36" eb="38">
      <t>タンイ</t>
    </rPh>
    <rPh sb="38" eb="40">
      <t>メンセキ</t>
    </rPh>
    <rPh sb="44" eb="46">
      <t>フタン</t>
    </rPh>
    <rPh sb="46" eb="48">
      <t>カジュウ</t>
    </rPh>
    <rPh sb="53" eb="54">
      <t>モチ</t>
    </rPh>
    <phoneticPr fontId="1"/>
  </si>
  <si>
    <r>
      <t>圧縮の基準強度F</t>
    </r>
    <r>
      <rPr>
        <vertAlign val="subscript"/>
        <sz val="11"/>
        <color theme="1"/>
        <rFont val="Yu Gothic"/>
        <family val="3"/>
        <charset val="128"/>
        <scheme val="minor"/>
      </rPr>
      <t>c</t>
    </r>
    <r>
      <rPr>
        <sz val="11"/>
        <color theme="1"/>
        <rFont val="Yu Gothic"/>
        <family val="3"/>
        <charset val="128"/>
        <scheme val="minor"/>
      </rPr>
      <t xml:space="preserve">
(N/㎜</t>
    </r>
    <r>
      <rPr>
        <b/>
        <vertAlign val="superscript"/>
        <sz val="9"/>
        <color theme="1"/>
        <rFont val="Yu Gothic"/>
        <family val="3"/>
        <charset val="128"/>
        <scheme val="minor"/>
      </rPr>
      <t>2</t>
    </r>
    <r>
      <rPr>
        <b/>
        <sz val="9"/>
        <color theme="1"/>
        <rFont val="Yu Gothic"/>
        <family val="3"/>
        <charset val="128"/>
        <scheme val="minor"/>
      </rPr>
      <t>)</t>
    </r>
    <rPh sb="0" eb="2">
      <t>アッシュク</t>
    </rPh>
    <rPh sb="3" eb="7">
      <t>キジュンキョウド</t>
    </rPh>
    <phoneticPr fontId="1"/>
  </si>
  <si>
    <t>　2-1～2-3の３とおりの算定方法があります。</t>
    <rPh sb="14" eb="16">
      <t>サンテイ</t>
    </rPh>
    <rPh sb="16" eb="18">
      <t>ホウホウ</t>
    </rPh>
    <phoneticPr fontId="1"/>
  </si>
  <si>
    <t>更新履歴年月日</t>
    <rPh sb="0" eb="2">
      <t>コウシン</t>
    </rPh>
    <rPh sb="2" eb="4">
      <t>リレキ</t>
    </rPh>
    <rPh sb="4" eb="7">
      <t>ネンガッピ</t>
    </rPh>
    <phoneticPr fontId="1"/>
  </si>
  <si>
    <t>GW24K 400㎜程度を想定（国土交通省によるZEH150棟調査よりカバー率9割程度として想定）</t>
    <rPh sb="13" eb="15">
      <t>ソウテイ</t>
    </rPh>
    <rPh sb="38" eb="39">
      <t>リツ</t>
    </rPh>
    <rPh sb="40" eb="43">
      <t>ワリテイド</t>
    </rPh>
    <rPh sb="46" eb="48">
      <t>ソウテイ</t>
    </rPh>
    <phoneticPr fontId="1"/>
  </si>
  <si>
    <t>※２　木造住宅の耐震診断と補強方法（日本建築防災協会より）</t>
    <rPh sb="3" eb="5">
      <t>モクゾウ</t>
    </rPh>
    <rPh sb="5" eb="7">
      <t>ジュウタク</t>
    </rPh>
    <rPh sb="8" eb="10">
      <t>タイシン</t>
    </rPh>
    <rPh sb="10" eb="12">
      <t>シンダン</t>
    </rPh>
    <rPh sb="13" eb="15">
      <t>ホキョウ</t>
    </rPh>
    <rPh sb="15" eb="17">
      <t>ホウホウ</t>
    </rPh>
    <rPh sb="18" eb="20">
      <t>ニホン</t>
    </rPh>
    <rPh sb="20" eb="22">
      <t>ケンチク</t>
    </rPh>
    <rPh sb="22" eb="24">
      <t>ボウサイ</t>
    </rPh>
    <rPh sb="24" eb="26">
      <t>キョウカイ</t>
    </rPh>
    <phoneticPr fontId="1"/>
  </si>
  <si>
    <t>外皮面積に対する開口率。本ツールでは9％としている。</t>
    <rPh sb="0" eb="2">
      <t>ガイヒ</t>
    </rPh>
    <rPh sb="2" eb="4">
      <t>メンセキ</t>
    </rPh>
    <rPh sb="5" eb="6">
      <t>タイ</t>
    </rPh>
    <rPh sb="8" eb="11">
      <t>カイコウリツ</t>
    </rPh>
    <rPh sb="12" eb="13">
      <t>ホン</t>
    </rPh>
    <phoneticPr fontId="1"/>
  </si>
  <si>
    <t>GW24K 170㎜（40）＋ 胴縁（30）程度（国土交通省によるZEH150棟調査よりカバー率9割程度として想定）</t>
    <phoneticPr fontId="1"/>
  </si>
  <si>
    <t>開口率（外壁に対する開口の比率）９％程度（国土交通省によるZEH150棟調査よりカバー率9割程度として想定）</t>
    <phoneticPr fontId="1"/>
  </si>
  <si>
    <r>
      <t>・柱の負担可能面積は柱1本あたり5m</t>
    </r>
    <r>
      <rPr>
        <vertAlign val="superscript"/>
        <sz val="11"/>
        <color theme="1"/>
        <rFont val="Yu Gothic"/>
        <family val="3"/>
        <charset val="128"/>
        <scheme val="minor"/>
      </rPr>
      <t>2</t>
    </r>
    <r>
      <rPr>
        <sz val="11"/>
        <color theme="1"/>
        <rFont val="Yu Gothic"/>
        <family val="2"/>
        <scheme val="minor"/>
      </rPr>
      <t>として計算しており、設計時の柱の配置や間隔には注意を要する。</t>
    </r>
    <rPh sb="1" eb="2">
      <t>ハシラ</t>
    </rPh>
    <rPh sb="3" eb="9">
      <t>フタンカノウメンセキ</t>
    </rPh>
    <rPh sb="10" eb="11">
      <t>ハシラ</t>
    </rPh>
    <rPh sb="12" eb="13">
      <t>ホン</t>
    </rPh>
    <rPh sb="22" eb="24">
      <t>ケイサン</t>
    </rPh>
    <rPh sb="29" eb="32">
      <t>セッケイジ</t>
    </rPh>
    <rPh sb="33" eb="34">
      <t>ハシラ</t>
    </rPh>
    <rPh sb="35" eb="37">
      <t>ハイチ</t>
    </rPh>
    <rPh sb="38" eb="40">
      <t>カンカク</t>
    </rPh>
    <rPh sb="42" eb="44">
      <t>チュウイ</t>
    </rPh>
    <rPh sb="45" eb="46">
      <t>ヨウ</t>
    </rPh>
    <phoneticPr fontId="1"/>
  </si>
  <si>
    <r>
      <t>層せん断力分布係数</t>
    </r>
    <r>
      <rPr>
        <i/>
        <sz val="11"/>
        <color theme="1"/>
        <rFont val="Yu Gothic"/>
        <family val="3"/>
        <charset val="128"/>
        <scheme val="minor"/>
      </rPr>
      <t>A</t>
    </r>
    <r>
      <rPr>
        <vertAlign val="subscript"/>
        <sz val="11"/>
        <color theme="1"/>
        <rFont val="Yu Gothic"/>
        <family val="3"/>
        <charset val="128"/>
        <scheme val="minor"/>
      </rPr>
      <t>i</t>
    </r>
    <phoneticPr fontId="1"/>
  </si>
  <si>
    <r>
      <rPr>
        <i/>
        <sz val="11"/>
        <color theme="1"/>
        <rFont val="Yu Gothic"/>
        <family val="3"/>
        <charset val="128"/>
        <scheme val="minor"/>
      </rPr>
      <t>α</t>
    </r>
    <r>
      <rPr>
        <vertAlign val="subscript"/>
        <sz val="11"/>
        <color theme="1"/>
        <rFont val="Yu Gothic"/>
        <family val="3"/>
        <charset val="128"/>
        <scheme val="minor"/>
      </rPr>
      <t>i</t>
    </r>
    <phoneticPr fontId="1"/>
  </si>
  <si>
    <r>
      <t>標準せん断力係数</t>
    </r>
    <r>
      <rPr>
        <i/>
        <sz val="11"/>
        <color theme="1"/>
        <rFont val="Yu Gothic"/>
        <family val="3"/>
        <charset val="128"/>
        <scheme val="minor"/>
      </rPr>
      <t>C</t>
    </r>
    <r>
      <rPr>
        <vertAlign val="subscript"/>
        <sz val="11"/>
        <color theme="1"/>
        <rFont val="Yu Gothic"/>
        <family val="3"/>
        <charset val="128"/>
        <scheme val="minor"/>
      </rPr>
      <t>0</t>
    </r>
    <rPh sb="0" eb="2">
      <t>ヒョウジュン</t>
    </rPh>
    <rPh sb="4" eb="5">
      <t>ダン</t>
    </rPh>
    <rPh sb="5" eb="6">
      <t>リョク</t>
    </rPh>
    <rPh sb="6" eb="8">
      <t>ケイスウ</t>
    </rPh>
    <phoneticPr fontId="1"/>
  </si>
  <si>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2"/>
        <scheme val="minor"/>
      </rPr>
      <t>（m</t>
    </r>
    <r>
      <rPr>
        <vertAlign val="superscript"/>
        <sz val="11"/>
        <color theme="1"/>
        <rFont val="Yu Gothic"/>
        <family val="3"/>
        <charset val="128"/>
        <scheme val="minor"/>
      </rPr>
      <t>2</t>
    </r>
    <r>
      <rPr>
        <sz val="11"/>
        <color theme="1"/>
        <rFont val="Yu Gothic"/>
        <family val="2"/>
        <scheme val="minor"/>
      </rPr>
      <t>）</t>
    </r>
    <phoneticPr fontId="1"/>
  </si>
  <si>
    <r>
      <t>1－2　当該階が支えている部分の固定荷重と積載荷重の和Σ</t>
    </r>
    <r>
      <rPr>
        <i/>
        <sz val="11"/>
        <color theme="1"/>
        <rFont val="ＭＳ ゴシック"/>
        <family val="3"/>
        <charset val="128"/>
      </rPr>
      <t>w</t>
    </r>
    <r>
      <rPr>
        <vertAlign val="subscript"/>
        <sz val="11"/>
        <color theme="1"/>
        <rFont val="ＭＳ ゴシック"/>
        <family val="3"/>
        <charset val="128"/>
      </rPr>
      <t>i</t>
    </r>
    <r>
      <rPr>
        <sz val="11"/>
        <color theme="1"/>
        <rFont val="ＭＳ ゴシック"/>
        <family val="3"/>
        <charset val="128"/>
      </rPr>
      <t>の算出方法</t>
    </r>
    <rPh sb="4" eb="7">
      <t>トウガイカイ</t>
    </rPh>
    <rPh sb="8" eb="9">
      <t>ササ</t>
    </rPh>
    <rPh sb="13" eb="15">
      <t>ブブン</t>
    </rPh>
    <rPh sb="16" eb="20">
      <t>コテイカジュウ</t>
    </rPh>
    <rPh sb="21" eb="25">
      <t>セキサイカジュウ</t>
    </rPh>
    <rPh sb="26" eb="27">
      <t>ワ</t>
    </rPh>
    <rPh sb="31" eb="33">
      <t>サンシュツ</t>
    </rPh>
    <rPh sb="33" eb="35">
      <t>ホウホウ</t>
    </rPh>
    <phoneticPr fontId="1"/>
  </si>
  <si>
    <r>
      <t>Σ</t>
    </r>
    <r>
      <rPr>
        <i/>
        <sz val="11"/>
        <color theme="1"/>
        <rFont val="Yu Gothic"/>
        <family val="3"/>
        <charset val="128"/>
        <scheme val="minor"/>
      </rPr>
      <t>w</t>
    </r>
    <r>
      <rPr>
        <vertAlign val="subscript"/>
        <sz val="11"/>
        <color theme="1"/>
        <rFont val="Yu Gothic"/>
        <family val="3"/>
        <charset val="128"/>
        <scheme val="minor"/>
      </rPr>
      <t>2-2</t>
    </r>
    <phoneticPr fontId="1"/>
  </si>
  <si>
    <r>
      <t>Σ</t>
    </r>
    <r>
      <rPr>
        <i/>
        <sz val="11"/>
        <color theme="1"/>
        <rFont val="Yu Gothic"/>
        <family val="3"/>
        <charset val="128"/>
        <scheme val="minor"/>
      </rPr>
      <t>w</t>
    </r>
    <r>
      <rPr>
        <vertAlign val="subscript"/>
        <sz val="11"/>
        <color theme="1"/>
        <rFont val="Yu Gothic"/>
        <family val="3"/>
        <charset val="128"/>
        <scheme val="minor"/>
      </rPr>
      <t>2-1</t>
    </r>
    <phoneticPr fontId="1"/>
  </si>
  <si>
    <r>
      <t>Σ</t>
    </r>
    <r>
      <rPr>
        <i/>
        <sz val="11"/>
        <color theme="1"/>
        <rFont val="Yu Gothic"/>
        <family val="3"/>
        <charset val="128"/>
        <scheme val="minor"/>
      </rPr>
      <t>w</t>
    </r>
    <r>
      <rPr>
        <vertAlign val="subscript"/>
        <sz val="11"/>
        <color theme="1"/>
        <rFont val="Yu Gothic"/>
        <family val="3"/>
        <charset val="128"/>
        <scheme val="minor"/>
      </rPr>
      <t>1</t>
    </r>
    <phoneticPr fontId="1"/>
  </si>
  <si>
    <r>
      <rPr>
        <i/>
        <sz val="11"/>
        <color theme="1"/>
        <rFont val="Yu Gothic"/>
        <family val="3"/>
        <charset val="128"/>
        <scheme val="minor"/>
      </rPr>
      <t>P</t>
    </r>
    <r>
      <rPr>
        <vertAlign val="subscript"/>
        <sz val="11"/>
        <color theme="1"/>
        <rFont val="Yu Gothic"/>
        <family val="3"/>
        <charset val="128"/>
        <scheme val="minor"/>
      </rPr>
      <t>1</t>
    </r>
    <phoneticPr fontId="1"/>
  </si>
  <si>
    <r>
      <rPr>
        <i/>
        <sz val="11"/>
        <color theme="1"/>
        <rFont val="Yu Gothic"/>
        <family val="3"/>
        <charset val="128"/>
        <scheme val="minor"/>
      </rPr>
      <t>D</t>
    </r>
    <r>
      <rPr>
        <vertAlign val="subscript"/>
        <sz val="11"/>
        <color theme="1"/>
        <rFont val="Yu Gothic"/>
        <family val="3"/>
        <charset val="128"/>
        <scheme val="minor"/>
      </rPr>
      <t>1</t>
    </r>
    <phoneticPr fontId="1"/>
  </si>
  <si>
    <r>
      <rPr>
        <i/>
        <sz val="11"/>
        <color theme="1"/>
        <rFont val="Yu Gothic"/>
        <family val="3"/>
        <charset val="128"/>
        <scheme val="minor"/>
      </rPr>
      <t>D</t>
    </r>
    <r>
      <rPr>
        <vertAlign val="subscript"/>
        <sz val="11"/>
        <color theme="1"/>
        <rFont val="Yu Gothic"/>
        <family val="3"/>
        <charset val="128"/>
        <scheme val="minor"/>
      </rPr>
      <t>2</t>
    </r>
    <phoneticPr fontId="1"/>
  </si>
  <si>
    <r>
      <rPr>
        <i/>
        <sz val="11"/>
        <color theme="1"/>
        <rFont val="Yu Gothic"/>
        <family val="3"/>
        <charset val="128"/>
        <scheme val="minor"/>
      </rPr>
      <t>D</t>
    </r>
    <r>
      <rPr>
        <vertAlign val="subscript"/>
        <sz val="11"/>
        <color theme="1"/>
        <rFont val="Yu Gothic"/>
        <family val="3"/>
        <charset val="128"/>
        <scheme val="minor"/>
      </rPr>
      <t>3</t>
    </r>
    <phoneticPr fontId="1"/>
  </si>
  <si>
    <r>
      <rPr>
        <i/>
        <sz val="11"/>
        <color theme="1"/>
        <rFont val="Yu Gothic"/>
        <family val="3"/>
        <charset val="128"/>
        <scheme val="minor"/>
      </rPr>
      <t>D</t>
    </r>
    <r>
      <rPr>
        <vertAlign val="subscript"/>
        <sz val="11"/>
        <color theme="1"/>
        <rFont val="Yu Gothic"/>
        <family val="3"/>
        <charset val="128"/>
        <scheme val="minor"/>
      </rPr>
      <t>4</t>
    </r>
    <phoneticPr fontId="1"/>
  </si>
  <si>
    <r>
      <t>外壁及び壁断熱材の床面積当たりの荷重（N/m</t>
    </r>
    <r>
      <rPr>
        <vertAlign val="superscript"/>
        <sz val="11"/>
        <color theme="1"/>
        <rFont val="Yu Gothic"/>
        <family val="3"/>
        <charset val="128"/>
        <scheme val="minor"/>
      </rPr>
      <t>2</t>
    </r>
    <r>
      <rPr>
        <sz val="11"/>
        <color theme="1"/>
        <rFont val="Yu Gothic"/>
        <family val="2"/>
        <scheme val="minor"/>
      </rPr>
      <t>）＝部位の面積当たりの荷重（N/m</t>
    </r>
    <r>
      <rPr>
        <vertAlign val="superscript"/>
        <sz val="11"/>
        <color theme="1"/>
        <rFont val="Yu Gothic"/>
        <family val="3"/>
        <charset val="128"/>
        <scheme val="minor"/>
      </rPr>
      <t>2</t>
    </r>
    <r>
      <rPr>
        <sz val="11"/>
        <color theme="1"/>
        <rFont val="Yu Gothic"/>
        <family val="2"/>
        <scheme val="minor"/>
      </rPr>
      <t>）×((2</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Y</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)×(1-</t>
    </r>
    <r>
      <rPr>
        <i/>
        <sz val="11"/>
        <color theme="1"/>
        <rFont val="Yu Gothic"/>
        <family val="3"/>
        <charset val="128"/>
        <scheme val="minor"/>
      </rPr>
      <t>W</t>
    </r>
    <r>
      <rPr>
        <sz val="11"/>
        <color theme="1"/>
        <rFont val="Yu Gothic"/>
        <family val="2"/>
        <scheme val="minor"/>
      </rPr>
      <t>)/(</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Y</t>
    </r>
    <r>
      <rPr>
        <sz val="11"/>
        <color theme="1"/>
        <rFont val="Yu Gothic"/>
        <family val="2"/>
        <scheme val="minor"/>
      </rPr>
      <t>)</t>
    </r>
    <rPh sb="0" eb="2">
      <t>ガイヘキ</t>
    </rPh>
    <rPh sb="2" eb="3">
      <t>オヨ</t>
    </rPh>
    <rPh sb="4" eb="5">
      <t>カベ</t>
    </rPh>
    <rPh sb="5" eb="8">
      <t>ダンネツザイ</t>
    </rPh>
    <rPh sb="9" eb="12">
      <t>ユカメンセキ</t>
    </rPh>
    <rPh sb="12" eb="13">
      <t>ア</t>
    </rPh>
    <rPh sb="16" eb="18">
      <t>カジュウ</t>
    </rPh>
    <rPh sb="25" eb="27">
      <t>ブイ</t>
    </rPh>
    <rPh sb="28" eb="30">
      <t>メンセキ</t>
    </rPh>
    <rPh sb="30" eb="31">
      <t>ア</t>
    </rPh>
    <rPh sb="34" eb="36">
      <t>カジュウ</t>
    </rPh>
    <phoneticPr fontId="1"/>
  </si>
  <si>
    <r>
      <rPr>
        <i/>
        <sz val="11"/>
        <color theme="1"/>
        <rFont val="Yu Gothic"/>
        <family val="3"/>
        <charset val="128"/>
        <scheme val="minor"/>
      </rPr>
      <t>h</t>
    </r>
    <r>
      <rPr>
        <vertAlign val="subscript"/>
        <sz val="11"/>
        <color theme="1"/>
        <rFont val="Yu Gothic"/>
        <family val="3"/>
        <charset val="128"/>
        <scheme val="minor"/>
      </rPr>
      <t>i</t>
    </r>
    <phoneticPr fontId="1"/>
  </si>
  <si>
    <r>
      <t>建物の平面形状を長方形と仮定した場合の外周のX方向の壁長さ（m）。本ツールでは</t>
    </r>
    <r>
      <rPr>
        <i/>
        <sz val="11"/>
        <color theme="1"/>
        <rFont val="Yu Gothic"/>
        <family val="3"/>
        <charset val="128"/>
        <scheme val="minor"/>
      </rPr>
      <t>X</t>
    </r>
    <r>
      <rPr>
        <sz val="11"/>
        <color theme="1"/>
        <rFont val="Yu Gothic"/>
        <family val="2"/>
        <scheme val="minor"/>
      </rPr>
      <t>＝6mとしている。</t>
    </r>
    <rPh sb="0" eb="2">
      <t>タテモノ</t>
    </rPh>
    <rPh sb="3" eb="7">
      <t>ヘイメンケイジョウ</t>
    </rPh>
    <rPh sb="8" eb="11">
      <t>チョウホウケイ</t>
    </rPh>
    <rPh sb="12" eb="14">
      <t>カテイ</t>
    </rPh>
    <rPh sb="16" eb="18">
      <t>バアイ</t>
    </rPh>
    <rPh sb="19" eb="21">
      <t>ガイシュウ</t>
    </rPh>
    <rPh sb="23" eb="25">
      <t>ホウコウ</t>
    </rPh>
    <rPh sb="26" eb="27">
      <t>カベ</t>
    </rPh>
    <rPh sb="27" eb="28">
      <t>ナガ</t>
    </rPh>
    <rPh sb="33" eb="34">
      <t>ホン</t>
    </rPh>
    <phoneticPr fontId="1"/>
  </si>
  <si>
    <r>
      <t>建物の平面形状を長方形と仮定した場合の外周のY方向の壁長さ（m）。本ツールでは</t>
    </r>
    <r>
      <rPr>
        <i/>
        <sz val="11"/>
        <color theme="1"/>
        <rFont val="Yu Gothic"/>
        <family val="3"/>
        <charset val="128"/>
        <scheme val="minor"/>
      </rPr>
      <t>Y</t>
    </r>
    <r>
      <rPr>
        <sz val="11"/>
        <color theme="1"/>
        <rFont val="Yu Gothic"/>
        <family val="2"/>
        <scheme val="minor"/>
      </rPr>
      <t>＝16.5mとしている。</t>
    </r>
    <rPh sb="0" eb="2">
      <t>タテモノ</t>
    </rPh>
    <rPh sb="3" eb="7">
      <t>ヘイメンケイジョウ</t>
    </rPh>
    <rPh sb="8" eb="11">
      <t>チョウホウケイ</t>
    </rPh>
    <rPh sb="12" eb="14">
      <t>カテイ</t>
    </rPh>
    <rPh sb="16" eb="18">
      <t>バアイ</t>
    </rPh>
    <rPh sb="19" eb="21">
      <t>ガイシュウ</t>
    </rPh>
    <rPh sb="23" eb="25">
      <t>ホウコウ</t>
    </rPh>
    <rPh sb="26" eb="27">
      <t>カベ</t>
    </rPh>
    <rPh sb="27" eb="28">
      <t>ナガ</t>
    </rPh>
    <rPh sb="33" eb="34">
      <t>ホン</t>
    </rPh>
    <phoneticPr fontId="1"/>
  </si>
  <si>
    <r>
      <rPr>
        <i/>
        <sz val="11"/>
        <color theme="1"/>
        <rFont val="Yu Gothic"/>
        <family val="3"/>
        <charset val="128"/>
        <scheme val="minor"/>
      </rPr>
      <t>W</t>
    </r>
    <r>
      <rPr>
        <vertAlign val="subscript"/>
        <sz val="11"/>
        <color theme="1"/>
        <rFont val="Yu Gothic"/>
        <family val="3"/>
        <charset val="128"/>
        <scheme val="minor"/>
      </rPr>
      <t xml:space="preserve">dO2-2 </t>
    </r>
    <phoneticPr fontId="1"/>
  </si>
  <si>
    <r>
      <rPr>
        <i/>
        <sz val="11"/>
        <color theme="1"/>
        <rFont val="Yu Gothic"/>
        <family val="3"/>
        <charset val="128"/>
        <scheme val="minor"/>
      </rPr>
      <t>W</t>
    </r>
    <r>
      <rPr>
        <vertAlign val="subscript"/>
        <sz val="11"/>
        <color theme="1"/>
        <rFont val="Yu Gothic"/>
        <family val="3"/>
        <charset val="128"/>
        <scheme val="minor"/>
      </rPr>
      <t xml:space="preserve">dI2-2 </t>
    </r>
    <phoneticPr fontId="1"/>
  </si>
  <si>
    <r>
      <rPr>
        <i/>
        <sz val="11"/>
        <color theme="1"/>
        <rFont val="Yu Gothic"/>
        <family val="3"/>
        <charset val="128"/>
        <scheme val="minor"/>
      </rPr>
      <t>W</t>
    </r>
    <r>
      <rPr>
        <vertAlign val="subscript"/>
        <sz val="11"/>
        <color theme="1"/>
        <rFont val="Yu Gothic"/>
        <family val="3"/>
        <charset val="128"/>
        <scheme val="minor"/>
      </rPr>
      <t xml:space="preserve">dO2-1 </t>
    </r>
    <phoneticPr fontId="1"/>
  </si>
  <si>
    <r>
      <rPr>
        <i/>
        <sz val="11"/>
        <color theme="1"/>
        <rFont val="Yu Gothic"/>
        <family val="3"/>
        <charset val="128"/>
        <scheme val="minor"/>
      </rPr>
      <t>W</t>
    </r>
    <r>
      <rPr>
        <vertAlign val="subscript"/>
        <sz val="11"/>
        <color theme="1"/>
        <rFont val="Yu Gothic"/>
        <family val="3"/>
        <charset val="128"/>
        <scheme val="minor"/>
      </rPr>
      <t xml:space="preserve">dI2-1 </t>
    </r>
    <phoneticPr fontId="1"/>
  </si>
  <si>
    <r>
      <rPr>
        <i/>
        <sz val="11"/>
        <color theme="1"/>
        <rFont val="Yu Gothic"/>
        <family val="3"/>
        <charset val="128"/>
        <scheme val="minor"/>
      </rPr>
      <t>W</t>
    </r>
    <r>
      <rPr>
        <vertAlign val="subscript"/>
        <sz val="11"/>
        <color theme="1"/>
        <rFont val="Yu Gothic"/>
        <family val="3"/>
        <charset val="128"/>
        <scheme val="minor"/>
      </rPr>
      <t xml:space="preserve">dO1 </t>
    </r>
    <phoneticPr fontId="1"/>
  </si>
  <si>
    <r>
      <rPr>
        <i/>
        <sz val="11"/>
        <color theme="1"/>
        <rFont val="Yu Gothic"/>
        <family val="3"/>
        <charset val="128"/>
        <scheme val="minor"/>
      </rPr>
      <t>W</t>
    </r>
    <r>
      <rPr>
        <vertAlign val="subscript"/>
        <sz val="11"/>
        <color theme="1"/>
        <rFont val="Yu Gothic"/>
        <family val="3"/>
        <charset val="128"/>
        <scheme val="minor"/>
      </rPr>
      <t xml:space="preserve">dI1 </t>
    </r>
    <phoneticPr fontId="1"/>
  </si>
  <si>
    <r>
      <t>2階建ての2階部分の外周部の柱の単位面積あたりの負担荷重（N／m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ガイシュウ</t>
    </rPh>
    <rPh sb="12" eb="13">
      <t>ブ</t>
    </rPh>
    <rPh sb="14" eb="15">
      <t>ハシラ</t>
    </rPh>
    <rPh sb="16" eb="18">
      <t>タンイ</t>
    </rPh>
    <rPh sb="18" eb="20">
      <t>メンセキ</t>
    </rPh>
    <rPh sb="24" eb="26">
      <t>フタン</t>
    </rPh>
    <rPh sb="26" eb="28">
      <t>カジュウ</t>
    </rPh>
    <phoneticPr fontId="1"/>
  </si>
  <si>
    <r>
      <t>2階建ての2階部分の内部の柱の単位面積あたりの負担荷重（N／m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ナイブ</t>
    </rPh>
    <rPh sb="13" eb="14">
      <t>ハシラ</t>
    </rPh>
    <rPh sb="15" eb="17">
      <t>タンイ</t>
    </rPh>
    <rPh sb="17" eb="19">
      <t>メンセキ</t>
    </rPh>
    <rPh sb="23" eb="25">
      <t>フタン</t>
    </rPh>
    <rPh sb="25" eb="27">
      <t>カジュウ</t>
    </rPh>
    <phoneticPr fontId="1"/>
  </si>
  <si>
    <r>
      <t>2階建ての1階部分の外周部の柱の単位面積あたりの負担荷重（N／m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ガイシュウ</t>
    </rPh>
    <rPh sb="12" eb="13">
      <t>ブ</t>
    </rPh>
    <rPh sb="14" eb="15">
      <t>ハシラ</t>
    </rPh>
    <rPh sb="16" eb="18">
      <t>タンイ</t>
    </rPh>
    <rPh sb="18" eb="20">
      <t>メンセキ</t>
    </rPh>
    <rPh sb="24" eb="26">
      <t>フタン</t>
    </rPh>
    <rPh sb="26" eb="28">
      <t>カジュウ</t>
    </rPh>
    <phoneticPr fontId="1"/>
  </si>
  <si>
    <r>
      <t>2階建ての1階部分の内部の柱の単位面積あたりの負担荷重（N／m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ナイブ</t>
    </rPh>
    <rPh sb="13" eb="14">
      <t>ハシラ</t>
    </rPh>
    <rPh sb="15" eb="17">
      <t>タンイ</t>
    </rPh>
    <rPh sb="17" eb="19">
      <t>メンセキ</t>
    </rPh>
    <rPh sb="23" eb="25">
      <t>フタン</t>
    </rPh>
    <rPh sb="25" eb="27">
      <t>カジュウ</t>
    </rPh>
    <phoneticPr fontId="1"/>
  </si>
  <si>
    <r>
      <t>平屋建ての1階部分の外周部の柱の単位面積あたりの負担荷重（N／m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0" eb="2">
      <t>ヒラヤ</t>
    </rPh>
    <rPh sb="2" eb="3">
      <t>ダ</t>
    </rPh>
    <rPh sb="6" eb="7">
      <t>カイ</t>
    </rPh>
    <rPh sb="7" eb="9">
      <t>ブブン</t>
    </rPh>
    <rPh sb="10" eb="13">
      <t>ガイシュウブ</t>
    </rPh>
    <rPh sb="14" eb="15">
      <t>ハシラ</t>
    </rPh>
    <rPh sb="16" eb="18">
      <t>タンイ</t>
    </rPh>
    <rPh sb="18" eb="20">
      <t>メンセキ</t>
    </rPh>
    <rPh sb="24" eb="26">
      <t>フタン</t>
    </rPh>
    <rPh sb="26" eb="28">
      <t>カジュウ</t>
    </rPh>
    <phoneticPr fontId="1"/>
  </si>
  <si>
    <r>
      <t>平屋建ての1階部分の内部の柱の単位面積あたりの負担荷重（N／m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0" eb="2">
      <t>ヒラヤ</t>
    </rPh>
    <rPh sb="2" eb="3">
      <t>ダ</t>
    </rPh>
    <rPh sb="6" eb="7">
      <t>カイ</t>
    </rPh>
    <rPh sb="7" eb="9">
      <t>ブブン</t>
    </rPh>
    <rPh sb="10" eb="12">
      <t>ナイブ</t>
    </rPh>
    <rPh sb="13" eb="14">
      <t>ハシラ</t>
    </rPh>
    <rPh sb="15" eb="17">
      <t>タンイ</t>
    </rPh>
    <rPh sb="17" eb="19">
      <t>メンセキ</t>
    </rPh>
    <rPh sb="23" eb="25">
      <t>フタン</t>
    </rPh>
    <rPh sb="25" eb="27">
      <t>カジュウ</t>
    </rPh>
    <phoneticPr fontId="1"/>
  </si>
  <si>
    <t>　「2．柱の小径の算出方法」で選択可能な「無等級材」とは、平成12建告1452号第五号の無等級材に示す基準強度を用いている。同告示に規定する無等級材の基準強度は、旧製材の日本農林規格（昭和42年農林水産省告示第1842号）第10条において1等に格付けされる木材の強度（表2－5）に基づいた数値である。よって、無等級材の強度を用いる場合には、表2－5と同等以上の品質を有する材料を用いるか、強度の低減などの適切な措置を講じるといった配慮が必要となる。</t>
    <rPh sb="15" eb="17">
      <t>センタク</t>
    </rPh>
    <rPh sb="17" eb="19">
      <t>カノウ</t>
    </rPh>
    <rPh sb="21" eb="22">
      <t>ム</t>
    </rPh>
    <rPh sb="22" eb="25">
      <t>トウキュウザイ</t>
    </rPh>
    <rPh sb="29" eb="31">
      <t>ヘイセイ</t>
    </rPh>
    <rPh sb="33" eb="34">
      <t>ケン</t>
    </rPh>
    <rPh sb="34" eb="35">
      <t>コク</t>
    </rPh>
    <rPh sb="39" eb="40">
      <t>ゴウ</t>
    </rPh>
    <rPh sb="40" eb="41">
      <t>ダイ</t>
    </rPh>
    <rPh sb="44" eb="48">
      <t>ムトウキュウザイ</t>
    </rPh>
    <rPh sb="49" eb="50">
      <t>シメ</t>
    </rPh>
    <rPh sb="51" eb="53">
      <t>キジュン</t>
    </rPh>
    <rPh sb="53" eb="55">
      <t>キョウド</t>
    </rPh>
    <rPh sb="56" eb="57">
      <t>モチ</t>
    </rPh>
    <rPh sb="62" eb="63">
      <t>ドウ</t>
    </rPh>
    <rPh sb="63" eb="65">
      <t>コクジ</t>
    </rPh>
    <rPh sb="66" eb="68">
      <t>キテイ</t>
    </rPh>
    <rPh sb="70" eb="74">
      <t>ムトウキュウザイ</t>
    </rPh>
    <rPh sb="75" eb="79">
      <t>キジュンキョウド</t>
    </rPh>
    <rPh sb="81" eb="82">
      <t>キュウ</t>
    </rPh>
    <rPh sb="82" eb="84">
      <t>セイザイ</t>
    </rPh>
    <rPh sb="85" eb="91">
      <t>ニホンノウリンキカク</t>
    </rPh>
    <rPh sb="120" eb="121">
      <t>トウ</t>
    </rPh>
    <rPh sb="122" eb="124">
      <t>カクヅ</t>
    </rPh>
    <rPh sb="128" eb="130">
      <t>モクザイ</t>
    </rPh>
    <rPh sb="131" eb="133">
      <t>キョウド</t>
    </rPh>
    <rPh sb="134" eb="135">
      <t>ヒョウ</t>
    </rPh>
    <rPh sb="140" eb="141">
      <t>モト</t>
    </rPh>
    <rPh sb="144" eb="146">
      <t>スウチ</t>
    </rPh>
    <rPh sb="154" eb="155">
      <t>ム</t>
    </rPh>
    <rPh sb="155" eb="158">
      <t>トウキュウザイ</t>
    </rPh>
    <rPh sb="159" eb="161">
      <t>キョウド</t>
    </rPh>
    <rPh sb="162" eb="163">
      <t>モチ</t>
    </rPh>
    <rPh sb="165" eb="167">
      <t>バアイ</t>
    </rPh>
    <rPh sb="170" eb="171">
      <t>ヒョウ</t>
    </rPh>
    <rPh sb="175" eb="179">
      <t>ドウトウイジョウ</t>
    </rPh>
    <rPh sb="180" eb="182">
      <t>ヒンシツ</t>
    </rPh>
    <rPh sb="183" eb="184">
      <t>ユウ</t>
    </rPh>
    <rPh sb="186" eb="188">
      <t>ザイリョウ</t>
    </rPh>
    <rPh sb="189" eb="190">
      <t>モチ</t>
    </rPh>
    <rPh sb="194" eb="196">
      <t>キョウド</t>
    </rPh>
    <rPh sb="197" eb="199">
      <t>テイゲン</t>
    </rPh>
    <rPh sb="202" eb="204">
      <t>テキセツ</t>
    </rPh>
    <rPh sb="205" eb="207">
      <t>ソチ</t>
    </rPh>
    <rPh sb="208" eb="209">
      <t>コウ</t>
    </rPh>
    <rPh sb="215" eb="217">
      <t>ハイリョ</t>
    </rPh>
    <rPh sb="218" eb="220">
      <t>ヒツヨウ</t>
    </rPh>
    <phoneticPr fontId="1"/>
  </si>
  <si>
    <t>　公益財団法人日本住宅・木材技術センター</t>
  </si>
  <si>
    <r>
      <t>建物の高さ</t>
    </r>
    <r>
      <rPr>
        <i/>
        <sz val="11"/>
        <color theme="1"/>
        <rFont val="Yu Gothic"/>
        <family val="3"/>
        <charset val="128"/>
        <scheme val="minor"/>
      </rPr>
      <t>ｈ</t>
    </r>
    <r>
      <rPr>
        <sz val="11"/>
        <color theme="1"/>
        <rFont val="Yu Gothic"/>
        <family val="3"/>
        <charset val="128"/>
        <scheme val="minor"/>
      </rPr>
      <t>は、土台＋基礎高さ＝0.5mと仮定し、屋根部分の高さ（最高高さー軒高）/２＋2階階高＋1階階高＋0.5ｍで算出している。</t>
    </r>
    <rPh sb="0" eb="2">
      <t>タテモノ</t>
    </rPh>
    <rPh sb="3" eb="4">
      <t>タカ</t>
    </rPh>
    <rPh sb="8" eb="10">
      <t>ドダイ</t>
    </rPh>
    <rPh sb="11" eb="13">
      <t>キソ</t>
    </rPh>
    <rPh sb="13" eb="14">
      <t>タカ</t>
    </rPh>
    <rPh sb="21" eb="23">
      <t>カテイ</t>
    </rPh>
    <rPh sb="25" eb="27">
      <t>ヤネ</t>
    </rPh>
    <rPh sb="27" eb="29">
      <t>ブブン</t>
    </rPh>
    <rPh sb="30" eb="31">
      <t>タカ</t>
    </rPh>
    <rPh sb="33" eb="36">
      <t>サイコウタカ</t>
    </rPh>
    <rPh sb="38" eb="40">
      <t>ノキダカ</t>
    </rPh>
    <rPh sb="45" eb="46">
      <t>カイ</t>
    </rPh>
    <rPh sb="46" eb="48">
      <t>カイダカ</t>
    </rPh>
    <rPh sb="50" eb="51">
      <t>カイ</t>
    </rPh>
    <rPh sb="51" eb="53">
      <t>カイダカ</t>
    </rPh>
    <rPh sb="59" eb="61">
      <t>サンシュツ</t>
    </rPh>
    <phoneticPr fontId="1"/>
  </si>
  <si>
    <t xml:space="preserve">階ごとに①～④の4種類までの柱材が選択できます。
</t>
    <rPh sb="17" eb="19">
      <t>センタク</t>
    </rPh>
    <phoneticPr fontId="1"/>
  </si>
  <si>
    <t xml:space="preserve">階ごとに①～③の3種類までの柱材が選択できます。
</t>
    <rPh sb="14" eb="16">
      <t>ハシラザイ</t>
    </rPh>
    <rPh sb="17" eb="19">
      <t>センタク</t>
    </rPh>
    <phoneticPr fontId="1"/>
  </si>
  <si>
    <t>（１）水平構面の床面積当たりの荷重</t>
    <rPh sb="3" eb="5">
      <t>スイヘイ</t>
    </rPh>
    <rPh sb="5" eb="7">
      <t>コウメン</t>
    </rPh>
    <rPh sb="8" eb="11">
      <t>ユカメンセキ</t>
    </rPh>
    <rPh sb="11" eb="12">
      <t>ア</t>
    </rPh>
    <rPh sb="15" eb="17">
      <t>カジュウ</t>
    </rPh>
    <phoneticPr fontId="1"/>
  </si>
  <si>
    <t>（２）鉛直構面の床面積当たりの荷重</t>
    <rPh sb="3" eb="5">
      <t>エンチョク</t>
    </rPh>
    <rPh sb="5" eb="7">
      <t>コウメン</t>
    </rPh>
    <rPh sb="8" eb="11">
      <t>ユカメンセキ</t>
    </rPh>
    <rPh sb="11" eb="12">
      <t>ア</t>
    </rPh>
    <rPh sb="15" eb="17">
      <t>カジュウ</t>
    </rPh>
    <phoneticPr fontId="1"/>
  </si>
  <si>
    <r>
      <t>（３）　柱の有効細長比の検討による柱の必要小径</t>
    </r>
    <r>
      <rPr>
        <i/>
        <sz val="11"/>
        <color theme="1"/>
        <rFont val="Yu Gothic"/>
        <family val="3"/>
        <charset val="128"/>
        <scheme val="minor"/>
      </rPr>
      <t>d</t>
    </r>
    <r>
      <rPr>
        <i/>
        <vertAlign val="subscript"/>
        <sz val="11"/>
        <color theme="1"/>
        <rFont val="Yu Gothic"/>
        <family val="3"/>
        <charset val="128"/>
        <scheme val="minor"/>
      </rPr>
      <t>se</t>
    </r>
    <r>
      <rPr>
        <sz val="11"/>
        <color theme="1"/>
        <rFont val="Yu Gothic"/>
        <family val="3"/>
        <charset val="128"/>
        <scheme val="minor"/>
      </rPr>
      <t>の算出方法(オイラー式）</t>
    </r>
    <rPh sb="4" eb="5">
      <t>ハシラ</t>
    </rPh>
    <rPh sb="6" eb="11">
      <t>ユウコウホソナガヒ</t>
    </rPh>
    <rPh sb="12" eb="14">
      <t>ケントウ</t>
    </rPh>
    <rPh sb="17" eb="18">
      <t>ハシラ</t>
    </rPh>
    <rPh sb="19" eb="21">
      <t>ヒツヨウ</t>
    </rPh>
    <rPh sb="21" eb="23">
      <t>ショウケイ</t>
    </rPh>
    <rPh sb="36" eb="37">
      <t>シキ</t>
    </rPh>
    <phoneticPr fontId="1"/>
  </si>
  <si>
    <r>
      <t>（２）　柱の座屈の検討による柱の必要小径</t>
    </r>
    <r>
      <rPr>
        <i/>
        <sz val="11"/>
        <color theme="1"/>
        <rFont val="Yu Gothic"/>
        <family val="3"/>
        <charset val="128"/>
        <scheme val="minor"/>
      </rPr>
      <t>d</t>
    </r>
    <r>
      <rPr>
        <i/>
        <vertAlign val="subscript"/>
        <sz val="11"/>
        <color theme="1"/>
        <rFont val="Yu Gothic"/>
        <family val="3"/>
        <charset val="128"/>
        <scheme val="minor"/>
      </rPr>
      <t>be</t>
    </r>
    <r>
      <rPr>
        <sz val="11"/>
        <color theme="1"/>
        <rFont val="Yu Gothic"/>
        <family val="3"/>
        <charset val="128"/>
        <scheme val="minor"/>
      </rPr>
      <t>の算出方法</t>
    </r>
    <rPh sb="4" eb="5">
      <t>ハシラ</t>
    </rPh>
    <rPh sb="6" eb="8">
      <t>ザクツ</t>
    </rPh>
    <rPh sb="9" eb="11">
      <t>ケントウ</t>
    </rPh>
    <rPh sb="14" eb="15">
      <t>ハシラ</t>
    </rPh>
    <rPh sb="16" eb="18">
      <t>ヒツヨウ</t>
    </rPh>
    <rPh sb="18" eb="20">
      <t>ショウケイ</t>
    </rPh>
    <phoneticPr fontId="1"/>
  </si>
  <si>
    <r>
      <t>開口部の床面積当たりの荷重（N/m</t>
    </r>
    <r>
      <rPr>
        <vertAlign val="superscript"/>
        <sz val="11"/>
        <color theme="1"/>
        <rFont val="Yu Gothic"/>
        <family val="3"/>
        <charset val="128"/>
        <scheme val="minor"/>
      </rPr>
      <t>2</t>
    </r>
    <r>
      <rPr>
        <sz val="11"/>
        <color theme="1"/>
        <rFont val="Yu Gothic"/>
        <family val="2"/>
        <scheme val="minor"/>
      </rPr>
      <t>）＝部位の面積当たりの荷重（N/m</t>
    </r>
    <r>
      <rPr>
        <vertAlign val="superscript"/>
        <sz val="11"/>
        <color theme="1"/>
        <rFont val="Yu Gothic"/>
        <family val="3"/>
        <charset val="128"/>
        <scheme val="minor"/>
      </rPr>
      <t>2</t>
    </r>
    <r>
      <rPr>
        <sz val="11"/>
        <color theme="1"/>
        <rFont val="Yu Gothic"/>
        <family val="2"/>
        <scheme val="minor"/>
      </rPr>
      <t>）×((2</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Y</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t>
    </r>
    <r>
      <rPr>
        <i/>
        <sz val="11"/>
        <color theme="1"/>
        <rFont val="Yu Gothic"/>
        <family val="3"/>
        <charset val="128"/>
        <scheme val="minor"/>
      </rPr>
      <t>W</t>
    </r>
    <r>
      <rPr>
        <sz val="11"/>
        <color theme="1"/>
        <rFont val="Yu Gothic"/>
        <family val="2"/>
        <scheme val="minor"/>
      </rPr>
      <t>/(</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Y</t>
    </r>
    <r>
      <rPr>
        <sz val="11"/>
        <color theme="1"/>
        <rFont val="Yu Gothic"/>
        <family val="2"/>
        <scheme val="minor"/>
      </rPr>
      <t>)</t>
    </r>
    <rPh sb="0" eb="3">
      <t>カイコウブ</t>
    </rPh>
    <rPh sb="4" eb="7">
      <t>ユカメンセキ</t>
    </rPh>
    <rPh sb="7" eb="8">
      <t>ア</t>
    </rPh>
    <rPh sb="11" eb="13">
      <t>カジュウ</t>
    </rPh>
    <phoneticPr fontId="1"/>
  </si>
  <si>
    <t>※</t>
    <phoneticPr fontId="1"/>
  </si>
  <si>
    <t>・柱の割り付け方法については、別添「「柱が負担する床面積」の確認方法（例）」が参考となる。</t>
    <rPh sb="1" eb="2">
      <t>ハシラ</t>
    </rPh>
    <rPh sb="3" eb="4">
      <t>ワ</t>
    </rPh>
    <rPh sb="5" eb="6">
      <t>ツ</t>
    </rPh>
    <rPh sb="7" eb="9">
      <t>ホウホウ</t>
    </rPh>
    <rPh sb="15" eb="17">
      <t>ベッテン</t>
    </rPh>
    <rPh sb="39" eb="41">
      <t>サンコウ</t>
    </rPh>
    <phoneticPr fontId="1"/>
  </si>
  <si>
    <t>土台上端～梁上端までの距離</t>
    <rPh sb="0" eb="2">
      <t>ドダイ</t>
    </rPh>
    <rPh sb="2" eb="4">
      <t>ジョウタン</t>
    </rPh>
    <rPh sb="5" eb="6">
      <t>ハリ</t>
    </rPh>
    <rPh sb="6" eb="8">
      <t>ジョウタン</t>
    </rPh>
    <rPh sb="11" eb="13">
      <t>キョリ</t>
    </rPh>
    <phoneticPr fontId="1"/>
  </si>
  <si>
    <t>軒の出(m）</t>
    <rPh sb="0" eb="1">
      <t>ノキ</t>
    </rPh>
    <rPh sb="2" eb="3">
      <t>デ</t>
    </rPh>
    <phoneticPr fontId="1"/>
  </si>
  <si>
    <t>屋根勾配（寸）</t>
    <rPh sb="0" eb="4">
      <t>ヤネコウバイ</t>
    </rPh>
    <rPh sb="5" eb="6">
      <t>スン</t>
    </rPh>
    <phoneticPr fontId="1"/>
  </si>
  <si>
    <t>壁芯から軒先瓦の先端までの長さ</t>
    <rPh sb="0" eb="2">
      <t>カベシン</t>
    </rPh>
    <rPh sb="4" eb="6">
      <t>ノキサキ</t>
    </rPh>
    <rPh sb="6" eb="7">
      <t>カワラ</t>
    </rPh>
    <rPh sb="8" eb="10">
      <t>センタン</t>
    </rPh>
    <rPh sb="13" eb="14">
      <t>ナガ</t>
    </rPh>
    <phoneticPr fontId="1"/>
  </si>
  <si>
    <t>屋根面積に乗ずる割増係数</t>
    <rPh sb="0" eb="4">
      <t>ヤネメンセキ</t>
    </rPh>
    <rPh sb="5" eb="6">
      <t>ジョウ</t>
    </rPh>
    <rPh sb="8" eb="10">
      <t>ワリマシ</t>
    </rPh>
    <rPh sb="10" eb="12">
      <t>ケイスウ</t>
    </rPh>
    <phoneticPr fontId="1"/>
  </si>
  <si>
    <t>積雪</t>
    <rPh sb="0" eb="2">
      <t>セキセツ</t>
    </rPh>
    <phoneticPr fontId="1"/>
  </si>
  <si>
    <t>国土交通大臣が基準強度の数値を指定した木材等</t>
    <rPh sb="0" eb="2">
      <t>コクド</t>
    </rPh>
    <rPh sb="2" eb="4">
      <t>コウツウ</t>
    </rPh>
    <rPh sb="4" eb="6">
      <t>ダイジン</t>
    </rPh>
    <rPh sb="7" eb="9">
      <t>キジュン</t>
    </rPh>
    <rPh sb="9" eb="11">
      <t>キョウド</t>
    </rPh>
    <rPh sb="12" eb="14">
      <t>スウチ</t>
    </rPh>
    <rPh sb="15" eb="17">
      <t>シテイ</t>
    </rPh>
    <rPh sb="19" eb="21">
      <t>モクザイ</t>
    </rPh>
    <rPh sb="21" eb="22">
      <t>トウ</t>
    </rPh>
    <phoneticPr fontId="1"/>
  </si>
  <si>
    <r>
      <t xml:space="preserve">荷重の出典
</t>
    </r>
    <r>
      <rPr>
        <u/>
        <sz val="9"/>
        <color theme="1"/>
        <rFont val="Yu Gothic"/>
        <family val="3"/>
        <charset val="128"/>
        <scheme val="minor"/>
      </rPr>
      <t>（※（一財）日本建築防災協会HP「木造建築物における省エネ化等による建築物の重量化に対応するための必要な壁量等の基準（案）の概要」（令和4年10月国土交通省公表）に関する補足資料」令和４年１０月２８日より</t>
    </r>
    <rPh sb="0" eb="2">
      <t>カジュウ</t>
    </rPh>
    <rPh sb="3" eb="5">
      <t>シュッテン</t>
    </rPh>
    <rPh sb="12" eb="14">
      <t>ニホン</t>
    </rPh>
    <rPh sb="14" eb="20">
      <t>ケンチクボウサイキョウカイ</t>
    </rPh>
    <rPh sb="96" eb="98">
      <t>レイワ</t>
    </rPh>
    <rPh sb="99" eb="100">
      <t>ネン</t>
    </rPh>
    <rPh sb="102" eb="103">
      <t>ガツ</t>
    </rPh>
    <rPh sb="105" eb="106">
      <t>ニチ</t>
    </rPh>
    <phoneticPr fontId="1"/>
  </si>
  <si>
    <t>天井（屋根）断熱材</t>
    <rPh sb="3" eb="5">
      <t>ヤネ</t>
    </rPh>
    <phoneticPr fontId="1"/>
  </si>
  <si>
    <t>100
（初期値・天井）</t>
    <rPh sb="5" eb="8">
      <t>ショキチ</t>
    </rPh>
    <rPh sb="9" eb="11">
      <t>テンジョウ</t>
    </rPh>
    <phoneticPr fontId="1"/>
  </si>
  <si>
    <t>住宅、共同住宅</t>
    <rPh sb="0" eb="2">
      <t>ジュウタク</t>
    </rPh>
    <rPh sb="3" eb="7">
      <t>キョウドウジュウタク</t>
    </rPh>
    <phoneticPr fontId="1"/>
  </si>
  <si>
    <t>事務所</t>
    <rPh sb="0" eb="3">
      <t>ジムショ</t>
    </rPh>
    <phoneticPr fontId="1"/>
  </si>
  <si>
    <t xml:space="preserve">断熱材の密度と厚さを任意入力したい場合は、「任意入力」をプルダウン選
</t>
    <phoneticPr fontId="1"/>
  </si>
  <si>
    <t>択し、右欄(緑)に値を入力する。</t>
    <phoneticPr fontId="1"/>
  </si>
  <si>
    <t>例えば、固定荷重の想定(表1－3、表1－5）の仕様から外れる仕様を用いる場合には、実際の固定荷重に比べて重い仕様を選択することなどが考えられる。</t>
    <phoneticPr fontId="1"/>
  </si>
  <si>
    <t>左記の値×軒の出及び屋根勾配による割増係数</t>
    <rPh sb="0" eb="2">
      <t>サキ</t>
    </rPh>
    <rPh sb="3" eb="4">
      <t>アタイ</t>
    </rPh>
    <rPh sb="5" eb="6">
      <t>ノキ</t>
    </rPh>
    <rPh sb="7" eb="8">
      <t>デ</t>
    </rPh>
    <rPh sb="8" eb="9">
      <t>オヨ</t>
    </rPh>
    <rPh sb="10" eb="14">
      <t>ヤネコウバイ</t>
    </rPh>
    <rPh sb="17" eb="19">
      <t>ワリマシ</t>
    </rPh>
    <rPh sb="19" eb="21">
      <t>ケイスウ</t>
    </rPh>
    <phoneticPr fontId="1"/>
  </si>
  <si>
    <t>屋根断熱材</t>
    <rPh sb="0" eb="2">
      <t>ヤネ</t>
    </rPh>
    <rPh sb="2" eb="5">
      <t>ダンネツザイ</t>
    </rPh>
    <phoneticPr fontId="1"/>
  </si>
  <si>
    <t>住宅用</t>
    <rPh sb="0" eb="3">
      <t>ジュウタクヨウ</t>
    </rPh>
    <phoneticPr fontId="1"/>
  </si>
  <si>
    <t>事務所用</t>
    <rPh sb="0" eb="4">
      <t>ジムショヨウ</t>
    </rPh>
    <phoneticPr fontId="1"/>
  </si>
  <si>
    <t>柱の床面積当たりの負担荷重。階及び柱の部位ごとに表2－3の変数を取る。</t>
    <rPh sb="14" eb="16">
      <t>カイオヨ</t>
    </rPh>
    <rPh sb="17" eb="18">
      <t>ハシラ</t>
    </rPh>
    <rPh sb="19" eb="21">
      <t>ブイ</t>
    </rPh>
    <rPh sb="24" eb="25">
      <t>ヒョウ</t>
    </rPh>
    <rPh sb="29" eb="31">
      <t>ヘンスウ</t>
    </rPh>
    <rPh sb="32" eb="33">
      <t>ト</t>
    </rPh>
    <phoneticPr fontId="1"/>
  </si>
  <si>
    <t>柱の細長比に応じて、3つの条件式から算出する。</t>
    <rPh sb="0" eb="1">
      <t>ハシラ</t>
    </rPh>
    <rPh sb="2" eb="5">
      <t>ホソナガヒ</t>
    </rPh>
    <rPh sb="6" eb="7">
      <t>オウ</t>
    </rPh>
    <rPh sb="13" eb="16">
      <t>ジョウケンシキ</t>
    </rPh>
    <rPh sb="18" eb="20">
      <t>サンシュツ</t>
    </rPh>
    <phoneticPr fontId="1"/>
  </si>
  <si>
    <t>算定用建築物の高さ</t>
    <rPh sb="0" eb="3">
      <t>サンテイヨウ</t>
    </rPh>
    <rPh sb="3" eb="6">
      <t>ケンチクブツ</t>
    </rPh>
    <rPh sb="7" eb="8">
      <t>タカ</t>
    </rPh>
    <phoneticPr fontId="1"/>
  </si>
  <si>
    <t>非住宅（事務所建築）</t>
    <rPh sb="0" eb="3">
      <t>ヒジュウタク</t>
    </rPh>
    <rPh sb="4" eb="9">
      <t>ジムショケンチク</t>
    </rPh>
    <phoneticPr fontId="1"/>
  </si>
  <si>
    <t>住宅性能表示制度を利用</t>
    <rPh sb="0" eb="8">
      <t>ジュウタクセイノウヒョウジセイド</t>
    </rPh>
    <rPh sb="9" eb="11">
      <t>リヨウ</t>
    </rPh>
    <phoneticPr fontId="1"/>
  </si>
  <si>
    <t>左記以外（住宅・建築基準法のみ）</t>
    <rPh sb="0" eb="4">
      <t>サキイガイ</t>
    </rPh>
    <rPh sb="5" eb="7">
      <t>ジュウタク</t>
    </rPh>
    <rPh sb="8" eb="13">
      <t>ケンチクキジュンホウ</t>
    </rPh>
    <phoneticPr fontId="1"/>
  </si>
  <si>
    <t>０．設計の用途を選択（いずれかひとつのチェックボックスを選択してください。）</t>
    <rPh sb="2" eb="4">
      <t>セッケイ</t>
    </rPh>
    <rPh sb="5" eb="7">
      <t>ヨウト</t>
    </rPh>
    <rPh sb="8" eb="10">
      <t>センタク</t>
    </rPh>
    <rPh sb="28" eb="30">
      <t>センタク</t>
    </rPh>
    <phoneticPr fontId="1"/>
  </si>
  <si>
    <t>多雪区域の指定</t>
    <rPh sb="0" eb="4">
      <t>タセツクイキ</t>
    </rPh>
    <rPh sb="5" eb="7">
      <t>シテイ</t>
    </rPh>
    <phoneticPr fontId="1"/>
  </si>
  <si>
    <t>積載荷重
(地震力算定用）</t>
    <rPh sb="0" eb="4">
      <t>セキサイカジュウ</t>
    </rPh>
    <phoneticPr fontId="1"/>
  </si>
  <si>
    <t>積載荷重
(柱算定用）</t>
    <rPh sb="0" eb="4">
      <t>セキサイカジュウ</t>
    </rPh>
    <rPh sb="6" eb="7">
      <t>ハシラ</t>
    </rPh>
    <phoneticPr fontId="1"/>
  </si>
  <si>
    <r>
      <t>天井(屋根)断熱材(N/m</t>
    </r>
    <r>
      <rPr>
        <vertAlign val="superscript"/>
        <sz val="10"/>
        <color theme="1"/>
        <rFont val="Yu Gothic"/>
        <family val="3"/>
        <charset val="128"/>
        <scheme val="minor"/>
      </rPr>
      <t>2</t>
    </r>
    <r>
      <rPr>
        <sz val="10"/>
        <color theme="1"/>
        <rFont val="Yu Gothic"/>
        <family val="3"/>
        <charset val="128"/>
        <scheme val="minor"/>
      </rPr>
      <t>)</t>
    </r>
    <rPh sb="3" eb="5">
      <t>ヤネ</t>
    </rPh>
    <phoneticPr fontId="1"/>
  </si>
  <si>
    <r>
      <t>該当面積(m</t>
    </r>
    <r>
      <rPr>
        <vertAlign val="superscript"/>
        <sz val="10"/>
        <color theme="1"/>
        <rFont val="Yu Gothic"/>
        <family val="3"/>
        <charset val="128"/>
        <scheme val="minor"/>
      </rPr>
      <t>2</t>
    </r>
    <r>
      <rPr>
        <sz val="10"/>
        <color theme="1"/>
        <rFont val="Yu Gothic"/>
        <family val="3"/>
        <charset val="128"/>
        <scheme val="minor"/>
      </rPr>
      <t>)</t>
    </r>
    <rPh sb="0" eb="2">
      <t>ガイトウ</t>
    </rPh>
    <rPh sb="2" eb="4">
      <t>メンセキ</t>
    </rPh>
    <phoneticPr fontId="1"/>
  </si>
  <si>
    <r>
      <t>密度(kg/m</t>
    </r>
    <r>
      <rPr>
        <vertAlign val="superscript"/>
        <sz val="11"/>
        <color theme="1"/>
        <rFont val="Yu Gothic"/>
        <family val="3"/>
        <charset val="128"/>
        <scheme val="minor"/>
      </rPr>
      <t>3</t>
    </r>
    <r>
      <rPr>
        <sz val="11"/>
        <color theme="1"/>
        <rFont val="Yu Gothic"/>
        <family val="3"/>
        <charset val="128"/>
        <scheme val="minor"/>
      </rPr>
      <t>)</t>
    </r>
    <rPh sb="0" eb="2">
      <t>ミツド</t>
    </rPh>
    <phoneticPr fontId="1"/>
  </si>
  <si>
    <r>
      <t>*</t>
    </r>
    <r>
      <rPr>
        <vertAlign val="superscript"/>
        <sz val="11"/>
        <color theme="1"/>
        <rFont val="Yu Gothic"/>
        <family val="3"/>
        <charset val="128"/>
        <scheme val="minor"/>
      </rPr>
      <t>4</t>
    </r>
    <r>
      <rPr>
        <sz val="11"/>
        <color theme="1"/>
        <rFont val="Yu Gothic"/>
        <family val="3"/>
        <charset val="128"/>
        <scheme val="minor"/>
      </rPr>
      <t>：すぎ、無等級材（平成12年建設省告示第1452号第5号）を前提として算定。解説・注意事項は</t>
    </r>
    <rPh sb="6" eb="7">
      <t>ム</t>
    </rPh>
    <rPh sb="7" eb="10">
      <t>トウキュウザイ</t>
    </rPh>
    <rPh sb="11" eb="13">
      <t>ヘイセイ</t>
    </rPh>
    <rPh sb="15" eb="16">
      <t>ネン</t>
    </rPh>
    <rPh sb="16" eb="21">
      <t>ケンセツショウコクジ</t>
    </rPh>
    <rPh sb="21" eb="22">
      <t>ダイ</t>
    </rPh>
    <rPh sb="26" eb="27">
      <t>ゴウ</t>
    </rPh>
    <rPh sb="27" eb="28">
      <t>ダイ</t>
    </rPh>
    <rPh sb="29" eb="30">
      <t>ゴウ</t>
    </rPh>
    <rPh sb="32" eb="34">
      <t>ゼンテイ</t>
    </rPh>
    <rPh sb="37" eb="39">
      <t>サンテイ</t>
    </rPh>
    <rPh sb="40" eb="42">
      <t>カイセツ</t>
    </rPh>
    <rPh sb="43" eb="47">
      <t>チュウイジコウ</t>
    </rPh>
    <phoneticPr fontId="1"/>
  </si>
  <si>
    <r>
      <t>圧縮の基準強度
F</t>
    </r>
    <r>
      <rPr>
        <vertAlign val="subscript"/>
        <sz val="10"/>
        <color theme="1"/>
        <rFont val="Yu Gothic"/>
        <family val="3"/>
        <charset val="128"/>
        <scheme val="minor"/>
      </rPr>
      <t>c</t>
    </r>
    <r>
      <rPr>
        <sz val="10"/>
        <color theme="1"/>
        <rFont val="Yu Gothic"/>
        <family val="3"/>
        <charset val="128"/>
        <scheme val="minor"/>
      </rPr>
      <t>(N/㎜</t>
    </r>
    <r>
      <rPr>
        <vertAlign val="superscript"/>
        <sz val="10"/>
        <color theme="1"/>
        <rFont val="Yu Gothic"/>
        <family val="3"/>
        <charset val="128"/>
        <scheme val="minor"/>
      </rPr>
      <t>2</t>
    </r>
    <r>
      <rPr>
        <sz val="10"/>
        <color theme="1"/>
        <rFont val="Yu Gothic"/>
        <family val="3"/>
        <charset val="128"/>
        <scheme val="minor"/>
      </rPr>
      <t>)</t>
    </r>
    <rPh sb="0" eb="2">
      <t>アッシュク</t>
    </rPh>
    <rPh sb="3" eb="7">
      <t>キジュンキョウド</t>
    </rPh>
    <phoneticPr fontId="1"/>
  </si>
  <si>
    <t>あり(多雪区域)</t>
  </si>
  <si>
    <t xml:space="preserve">地震地域係数Z(住宅性能表示制度のみ) </t>
    <rPh sb="8" eb="16">
      <t>ジュウタクセイノウヒョウジセイド</t>
    </rPh>
    <phoneticPr fontId="1"/>
  </si>
  <si>
    <t>0.9</t>
  </si>
  <si>
    <t>左記の値×軒の出及び屋根勾配による割増係数</t>
    <phoneticPr fontId="1"/>
  </si>
  <si>
    <t>垂直積雪量×積雪単位荷重×0.35</t>
    <rPh sb="0" eb="5">
      <t>スイチョクセキセツリョウ</t>
    </rPh>
    <rPh sb="6" eb="12">
      <t>セキセツタンイカジュウ</t>
    </rPh>
    <phoneticPr fontId="1"/>
  </si>
  <si>
    <r>
      <t>2階床面積(m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</si>
  <si>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太陽光発電設備等の質量を任意入力したい場合は「あり(任意入力)」*</t>
    </r>
    <r>
      <rPr>
        <vertAlign val="superscript"/>
        <sz val="9"/>
        <color theme="1"/>
        <rFont val="Yu Gothic"/>
        <family val="3"/>
        <charset val="128"/>
        <scheme val="minor"/>
      </rPr>
      <t>2</t>
    </r>
    <r>
      <rPr>
        <sz val="9"/>
        <color theme="1"/>
        <rFont val="Yu Gothic"/>
        <family val="3"/>
        <charset val="128"/>
        <scheme val="minor"/>
      </rPr>
      <t>をプルダウン選択し、右欄</t>
    </r>
    <r>
      <rPr>
        <b/>
        <sz val="9"/>
        <color theme="1"/>
        <rFont val="Yu Gothic"/>
        <family val="3"/>
        <charset val="128"/>
        <scheme val="minor"/>
      </rPr>
      <t>(緑)</t>
    </r>
    <r>
      <rPr>
        <sz val="9"/>
        <color theme="1"/>
        <rFont val="Yu Gothic"/>
        <family val="3"/>
        <charset val="128"/>
        <scheme val="minor"/>
      </rPr>
      <t>にその質量を入力する。</t>
    </r>
    <rPh sb="0" eb="3">
      <t>タイヨウコウ</t>
    </rPh>
    <rPh sb="3" eb="5">
      <t>ハツデン</t>
    </rPh>
    <rPh sb="5" eb="7">
      <t>セツビ</t>
    </rPh>
    <rPh sb="7" eb="8">
      <t>トウ</t>
    </rPh>
    <rPh sb="9" eb="11">
      <t>シツリョウ</t>
    </rPh>
    <rPh sb="12" eb="14">
      <t>ニンイ</t>
    </rPh>
    <rPh sb="14" eb="16">
      <t>ニュウリョク</t>
    </rPh>
    <rPh sb="19" eb="21">
      <t>バアイ</t>
    </rPh>
    <rPh sb="26" eb="28">
      <t>ニンイ</t>
    </rPh>
    <rPh sb="28" eb="30">
      <t>ニュウリョク</t>
    </rPh>
    <rPh sb="40" eb="42">
      <t>センタク</t>
    </rPh>
    <rPh sb="44" eb="46">
      <t>ミギラン</t>
    </rPh>
    <rPh sb="47" eb="48">
      <t>ミドリ</t>
    </rPh>
    <rPh sb="52" eb="54">
      <t>シツリョウ</t>
    </rPh>
    <rPh sb="55" eb="57">
      <t>ニュウリョク</t>
    </rPh>
    <phoneticPr fontId="1"/>
  </si>
  <si>
    <r>
      <t>断熱材の密度と厚さを任意入力したい場合は、「任意入力」をプルダウン選択し、右欄</t>
    </r>
    <r>
      <rPr>
        <b/>
        <sz val="10"/>
        <color theme="1"/>
        <rFont val="Yu Gothic"/>
        <family val="3"/>
        <charset val="128"/>
        <scheme val="minor"/>
      </rPr>
      <t>(緑)</t>
    </r>
    <r>
      <rPr>
        <sz val="10"/>
        <color theme="1"/>
        <rFont val="Yu Gothic"/>
        <family val="3"/>
        <charset val="128"/>
        <scheme val="minor"/>
      </rPr>
      <t>に値を入力する。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</si>
  <si>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r>
      <t>　採用する算定方法のタイトル横のチェックボックスに</t>
    </r>
    <r>
      <rPr>
        <sz val="12"/>
        <color theme="1"/>
        <rFont val="Segoe UI Symbol"/>
        <family val="3"/>
      </rPr>
      <t>☑</t>
    </r>
    <r>
      <rPr>
        <sz val="12"/>
        <color theme="1"/>
        <rFont val="Yu Gothic"/>
        <family val="3"/>
        <charset val="128"/>
        <scheme val="minor"/>
      </rPr>
      <t>をご記入ください。</t>
    </r>
    <rPh sb="5" eb="7">
      <t>サンテイ</t>
    </rPh>
    <rPh sb="14" eb="15">
      <t>ヨコ</t>
    </rPh>
    <phoneticPr fontId="1"/>
  </si>
  <si>
    <t>図1－2は1階の2階の面積比率に応じて、1階の下屋を含む場合、含まない場合に分かれるので1階と2階の面積の最大値とした。</t>
    <rPh sb="0" eb="1">
      <t>ズ</t>
    </rPh>
    <rPh sb="6" eb="7">
      <t>カイ</t>
    </rPh>
    <rPh sb="9" eb="10">
      <t>カイ</t>
    </rPh>
    <rPh sb="11" eb="13">
      <t>メンセキ</t>
    </rPh>
    <rPh sb="13" eb="15">
      <t>ヒリツ</t>
    </rPh>
    <rPh sb="16" eb="17">
      <t>オウ</t>
    </rPh>
    <rPh sb="21" eb="22">
      <t>カイ</t>
    </rPh>
    <rPh sb="23" eb="25">
      <t>ゲヤ</t>
    </rPh>
    <rPh sb="26" eb="27">
      <t>フク</t>
    </rPh>
    <rPh sb="28" eb="30">
      <t>バアイ</t>
    </rPh>
    <rPh sb="31" eb="32">
      <t>フク</t>
    </rPh>
    <rPh sb="35" eb="37">
      <t>バアイ</t>
    </rPh>
    <rPh sb="38" eb="39">
      <t>ワ</t>
    </rPh>
    <rPh sb="45" eb="46">
      <t>カイ</t>
    </rPh>
    <rPh sb="48" eb="49">
      <t>カイ</t>
    </rPh>
    <rPh sb="50" eb="52">
      <t>メンセキ</t>
    </rPh>
    <rPh sb="53" eb="56">
      <t>サイダイチ</t>
    </rPh>
    <phoneticPr fontId="1"/>
  </si>
  <si>
    <t>昭和56年建設省告示第1793号より、0.7～1.0の数値を選択する。</t>
    <rPh sb="0" eb="2">
      <t>ショウワ</t>
    </rPh>
    <rPh sb="4" eb="5">
      <t>ネン</t>
    </rPh>
    <rPh sb="5" eb="8">
      <t>ケンセツショウ</t>
    </rPh>
    <rPh sb="8" eb="10">
      <t>コクジ</t>
    </rPh>
    <rPh sb="10" eb="11">
      <t>ダイ</t>
    </rPh>
    <rPh sb="15" eb="16">
      <t>ゴウ</t>
    </rPh>
    <rPh sb="27" eb="29">
      <t>スウチ</t>
    </rPh>
    <rPh sb="30" eb="32">
      <t>センタク</t>
    </rPh>
    <phoneticPr fontId="1"/>
  </si>
  <si>
    <r>
      <t>「四方無節」、「三方無節」、「二方無節」、若しくは「一方無節」、「四方上小節」、「三方上小節」、「二方上小節」若しくは「一方上小節」又は「小節」と表示してあるものにあっては、別記</t>
    </r>
    <r>
      <rPr>
        <sz val="10"/>
        <color theme="1"/>
        <rFont val="Times New Roman"/>
        <family val="1"/>
      </rPr>
      <t>1</t>
    </r>
    <r>
      <rPr>
        <sz val="10"/>
        <color theme="1"/>
        <rFont val="ＭＳ 明朝"/>
        <family val="1"/>
        <charset val="128"/>
      </rPr>
      <t>（告示参照）の</t>
    </r>
    <r>
      <rPr>
        <sz val="10"/>
        <color theme="1"/>
        <rFont val="Times New Roman"/>
        <family val="1"/>
      </rPr>
      <t>(3)</t>
    </r>
    <r>
      <rPr>
        <sz val="10"/>
        <color theme="1"/>
        <rFont val="ＭＳ 明朝"/>
        <family val="1"/>
        <charset val="128"/>
      </rPr>
      <t>の基準に適合していること。</t>
    </r>
    <phoneticPr fontId="1"/>
  </si>
  <si>
    <r>
      <t>防虫処理を施した旨の表示がしてあるものにあっては、別記</t>
    </r>
    <r>
      <rPr>
        <sz val="10"/>
        <color theme="1"/>
        <rFont val="Times New Roman"/>
        <family val="1"/>
      </rPr>
      <t>2</t>
    </r>
    <r>
      <rPr>
        <sz val="10"/>
        <color theme="1"/>
        <rFont val="ＭＳ 明朝"/>
        <family val="1"/>
        <charset val="128"/>
      </rPr>
      <t>の</t>
    </r>
    <r>
      <rPr>
        <sz val="10"/>
        <color theme="1"/>
        <rFont val="Times New Roman"/>
        <family val="1"/>
      </rPr>
      <t>(2)</t>
    </r>
    <r>
      <rPr>
        <sz val="10"/>
        <color theme="1"/>
        <rFont val="ＭＳ 明朝"/>
        <family val="1"/>
        <charset val="128"/>
      </rPr>
      <t>の防虫処理試験に合格すること。</t>
    </r>
    <phoneticPr fontId="1"/>
  </si>
  <si>
    <t>表2－5　旧製材の日本農林規格（昭和42年農林水産省告示第1842号）第10条において1等に格付けされる木材の要求性能</t>
    <rPh sb="0" eb="1">
      <t>ヒョウ</t>
    </rPh>
    <rPh sb="5" eb="6">
      <t>キュウ</t>
    </rPh>
    <rPh sb="6" eb="8">
      <t>セイザイ</t>
    </rPh>
    <rPh sb="9" eb="11">
      <t>ニホン</t>
    </rPh>
    <rPh sb="11" eb="13">
      <t>ノウリン</t>
    </rPh>
    <rPh sb="13" eb="15">
      <t>キカク</t>
    </rPh>
    <rPh sb="16" eb="18">
      <t>ショウワ</t>
    </rPh>
    <rPh sb="20" eb="21">
      <t>ネン</t>
    </rPh>
    <rPh sb="21" eb="23">
      <t>ノウリン</t>
    </rPh>
    <rPh sb="23" eb="26">
      <t>スイサンショウ</t>
    </rPh>
    <rPh sb="26" eb="28">
      <t>コクジ</t>
    </rPh>
    <rPh sb="28" eb="29">
      <t>ダイ</t>
    </rPh>
    <rPh sb="33" eb="34">
      <t>ゴウ</t>
    </rPh>
    <rPh sb="35" eb="36">
      <t>ダイ</t>
    </rPh>
    <rPh sb="38" eb="39">
      <t>ジョウ</t>
    </rPh>
    <rPh sb="44" eb="45">
      <t>トウ</t>
    </rPh>
    <rPh sb="46" eb="48">
      <t>カクヅ</t>
    </rPh>
    <rPh sb="52" eb="54">
      <t>モクザイ</t>
    </rPh>
    <rPh sb="55" eb="59">
      <t>ヨウキュウセイノウ</t>
    </rPh>
    <phoneticPr fontId="1"/>
  </si>
  <si>
    <t>表2－6　旧製材の日本農林規格（昭和42年農林水産省告示第1842号）別記１の(1)板類</t>
    <rPh sb="0" eb="1">
      <t>ヒョウ</t>
    </rPh>
    <rPh sb="5" eb="6">
      <t>キュウ</t>
    </rPh>
    <rPh sb="6" eb="8">
      <t>セイザイ</t>
    </rPh>
    <rPh sb="9" eb="11">
      <t>ニホン</t>
    </rPh>
    <rPh sb="11" eb="13">
      <t>ノウリン</t>
    </rPh>
    <rPh sb="13" eb="15">
      <t>キカク</t>
    </rPh>
    <rPh sb="16" eb="18">
      <t>ショウワ</t>
    </rPh>
    <rPh sb="20" eb="21">
      <t>ネン</t>
    </rPh>
    <rPh sb="21" eb="23">
      <t>ノウリン</t>
    </rPh>
    <rPh sb="23" eb="26">
      <t>スイサンショウ</t>
    </rPh>
    <rPh sb="26" eb="28">
      <t>コクジ</t>
    </rPh>
    <rPh sb="28" eb="29">
      <t>ダイ</t>
    </rPh>
    <rPh sb="33" eb="34">
      <t>ゴウ</t>
    </rPh>
    <rPh sb="35" eb="37">
      <t>ベッキ</t>
    </rPh>
    <rPh sb="42" eb="44">
      <t>イタルイ</t>
    </rPh>
    <phoneticPr fontId="1"/>
  </si>
  <si>
    <t>無節</t>
    <rPh sb="0" eb="1">
      <t>ム</t>
    </rPh>
    <rPh sb="1" eb="2">
      <t>フシ</t>
    </rPh>
    <phoneticPr fontId="1"/>
  </si>
  <si>
    <t>上小節</t>
    <rPh sb="0" eb="1">
      <t>ウエ</t>
    </rPh>
    <rPh sb="1" eb="2">
      <t>コ</t>
    </rPh>
    <rPh sb="2" eb="3">
      <t>フシ</t>
    </rPh>
    <phoneticPr fontId="1"/>
  </si>
  <si>
    <t>小節</t>
    <rPh sb="0" eb="1">
      <t>コ</t>
    </rPh>
    <rPh sb="1" eb="2">
      <t>フシ</t>
    </rPh>
    <phoneticPr fontId="1"/>
  </si>
  <si>
    <t>ないこと。</t>
    <phoneticPr fontId="1"/>
  </si>
  <si>
    <t>木口割れ</t>
    <phoneticPr fontId="1"/>
  </si>
  <si>
    <t>腐れ又は虫あな</t>
    <rPh sb="0" eb="1">
      <t>クサ</t>
    </rPh>
    <rPh sb="2" eb="3">
      <t>マタ</t>
    </rPh>
    <rPh sb="4" eb="5">
      <t>ムシ</t>
    </rPh>
    <phoneticPr fontId="1"/>
  </si>
  <si>
    <t>その他の欠点</t>
    <rPh sb="2" eb="3">
      <t>タ</t>
    </rPh>
    <rPh sb="4" eb="6">
      <t>ケッテン</t>
    </rPh>
    <phoneticPr fontId="1"/>
  </si>
  <si>
    <t>きわめて軽微であること。</t>
    <rPh sb="4" eb="6">
      <t>ケイビ</t>
    </rPh>
    <phoneticPr fontId="1"/>
  </si>
  <si>
    <t>長径が10㎜（抜け節、腐れ節又は抜けやすい節にあっては、5㎜）以下で、材の長さ2m又は2m未満の端数につき3個（幅が24cm以上のものにあっては、4個）以下であること。</t>
    <rPh sb="0" eb="1">
      <t>ナガ</t>
    </rPh>
    <rPh sb="1" eb="2">
      <t>ケイ</t>
    </rPh>
    <rPh sb="7" eb="8">
      <t>ヌ</t>
    </rPh>
    <rPh sb="9" eb="10">
      <t>フシ</t>
    </rPh>
    <rPh sb="11" eb="12">
      <t>クサ</t>
    </rPh>
    <rPh sb="13" eb="14">
      <t>フシ</t>
    </rPh>
    <rPh sb="14" eb="15">
      <t>マタ</t>
    </rPh>
    <rPh sb="16" eb="17">
      <t>ヌ</t>
    </rPh>
    <rPh sb="21" eb="22">
      <t>フシ</t>
    </rPh>
    <rPh sb="31" eb="33">
      <t>イカ</t>
    </rPh>
    <rPh sb="35" eb="36">
      <t>ザイ</t>
    </rPh>
    <rPh sb="37" eb="38">
      <t>ナガ</t>
    </rPh>
    <rPh sb="41" eb="42">
      <t>マタ</t>
    </rPh>
    <rPh sb="45" eb="47">
      <t>ミマン</t>
    </rPh>
    <rPh sb="48" eb="50">
      <t>ハスウ</t>
    </rPh>
    <rPh sb="54" eb="55">
      <t>コ</t>
    </rPh>
    <rPh sb="56" eb="57">
      <t>ハバ</t>
    </rPh>
    <rPh sb="62" eb="64">
      <t>イジョウ</t>
    </rPh>
    <rPh sb="74" eb="75">
      <t>コ</t>
    </rPh>
    <rPh sb="76" eb="78">
      <t>イカ</t>
    </rPh>
    <phoneticPr fontId="1"/>
  </si>
  <si>
    <t>長径が20㎜（抜け節、腐れ節又は抜けやすい節にあっては、10㎜）以下で、材の長さ2m又は2m未満の端数につき6個（幅が24cm以上のものにあっては、8個）以下であること。</t>
    <rPh sb="0" eb="1">
      <t>ナガ</t>
    </rPh>
    <rPh sb="1" eb="2">
      <t>ケイ</t>
    </rPh>
    <rPh sb="7" eb="8">
      <t>ヌ</t>
    </rPh>
    <rPh sb="9" eb="10">
      <t>フシ</t>
    </rPh>
    <rPh sb="11" eb="12">
      <t>クサ</t>
    </rPh>
    <rPh sb="13" eb="14">
      <t>フシ</t>
    </rPh>
    <rPh sb="14" eb="15">
      <t>マタ</t>
    </rPh>
    <rPh sb="16" eb="17">
      <t>ヌ</t>
    </rPh>
    <rPh sb="21" eb="22">
      <t>フシ</t>
    </rPh>
    <rPh sb="32" eb="34">
      <t>イカ</t>
    </rPh>
    <rPh sb="36" eb="37">
      <t>ザイ</t>
    </rPh>
    <rPh sb="38" eb="39">
      <t>ナガ</t>
    </rPh>
    <rPh sb="42" eb="43">
      <t>マタ</t>
    </rPh>
    <rPh sb="46" eb="48">
      <t>ミマン</t>
    </rPh>
    <rPh sb="49" eb="51">
      <t>ハスウ</t>
    </rPh>
    <rPh sb="55" eb="56">
      <t>コ</t>
    </rPh>
    <rPh sb="57" eb="58">
      <t>ハバ</t>
    </rPh>
    <rPh sb="63" eb="65">
      <t>イジョウ</t>
    </rPh>
    <rPh sb="75" eb="76">
      <t>コ</t>
    </rPh>
    <rPh sb="77" eb="79">
      <t>イカ</t>
    </rPh>
    <phoneticPr fontId="1"/>
  </si>
  <si>
    <t>材幅に対して3％以下であること。</t>
    <rPh sb="0" eb="1">
      <t>ザイ</t>
    </rPh>
    <rPh sb="1" eb="2">
      <t>ハバ</t>
    </rPh>
    <rPh sb="3" eb="4">
      <t>タイ</t>
    </rPh>
    <rPh sb="8" eb="10">
      <t>イカ</t>
    </rPh>
    <phoneticPr fontId="1"/>
  </si>
  <si>
    <t>3％以下であること。</t>
    <rPh sb="2" eb="4">
      <t>イカ</t>
    </rPh>
    <phoneticPr fontId="1"/>
  </si>
  <si>
    <t>同左</t>
    <rPh sb="0" eb="2">
      <t>ドウサ</t>
    </rPh>
    <phoneticPr fontId="1"/>
  </si>
  <si>
    <t>軽微であること。</t>
    <rPh sb="0" eb="2">
      <t>ケイビ</t>
    </rPh>
    <phoneticPr fontId="1"/>
  </si>
  <si>
    <t xml:space="preserve">(注)この基準の判定は、良面について行う。 </t>
    <rPh sb="1" eb="2">
      <t>チュウ</t>
    </rPh>
    <rPh sb="5" eb="7">
      <t>キジュン</t>
    </rPh>
    <rPh sb="8" eb="10">
      <t>ハンテイ</t>
    </rPh>
    <rPh sb="12" eb="13">
      <t>リョウ</t>
    </rPh>
    <rPh sb="13" eb="14">
      <t>メン</t>
    </rPh>
    <rPh sb="18" eb="19">
      <t>オコナ</t>
    </rPh>
    <phoneticPr fontId="1"/>
  </si>
  <si>
    <t>※針葉樹の製材にあっては15%以下、広葉樹の製材にあっては13%以下であること</t>
    <phoneticPr fontId="1"/>
  </si>
  <si>
    <r>
      <t>人工乾燥を施した旨の表示がしてあるものにあっては、別記</t>
    </r>
    <r>
      <rPr>
        <sz val="10"/>
        <color theme="1"/>
        <rFont val="Times New Roman"/>
        <family val="1"/>
      </rPr>
      <t>2</t>
    </r>
    <r>
      <rPr>
        <sz val="10"/>
        <color theme="1"/>
        <rFont val="ＭＳ 明朝"/>
        <family val="1"/>
        <charset val="128"/>
      </rPr>
      <t>の</t>
    </r>
    <r>
      <rPr>
        <sz val="10"/>
        <color theme="1"/>
        <rFont val="Times New Roman"/>
        <family val="1"/>
      </rPr>
      <t>(3)</t>
    </r>
    <r>
      <rPr>
        <sz val="10"/>
        <color theme="1"/>
        <rFont val="ＭＳ 明朝"/>
        <family val="1"/>
        <charset val="128"/>
      </rPr>
      <t>の含水率試験</t>
    </r>
    <r>
      <rPr>
        <sz val="10"/>
        <color rgb="FFFF0000"/>
        <rFont val="ＭＳ 明朝"/>
        <family val="1"/>
        <charset val="128"/>
      </rPr>
      <t>※</t>
    </r>
    <r>
      <rPr>
        <sz val="10"/>
        <color theme="1"/>
        <rFont val="ＭＳ 明朝"/>
        <family val="1"/>
        <charset val="128"/>
      </rPr>
      <t>に合格すること。</t>
    </r>
    <phoneticPr fontId="1"/>
  </si>
  <si>
    <t>①性能表示制度以外の場合</t>
    <rPh sb="1" eb="7">
      <t>セイノウヒョウジセイド</t>
    </rPh>
    <rPh sb="7" eb="9">
      <t>イガイ</t>
    </rPh>
    <rPh sb="10" eb="12">
      <t>バアイ</t>
    </rPh>
    <phoneticPr fontId="1"/>
  </si>
  <si>
    <t>②性能表示制度の場合</t>
    <rPh sb="1" eb="7">
      <t>セイノウヒョウジセイド</t>
    </rPh>
    <rPh sb="8" eb="10">
      <t>バアイ</t>
    </rPh>
    <phoneticPr fontId="1"/>
  </si>
  <si>
    <r>
      <rPr>
        <i/>
        <sz val="11"/>
        <color theme="1"/>
        <rFont val="Yu Gothic"/>
        <family val="3"/>
        <charset val="128"/>
        <scheme val="minor"/>
      </rPr>
      <t>M</t>
    </r>
    <r>
      <rPr>
        <vertAlign val="subscript"/>
        <sz val="11"/>
        <color theme="1"/>
        <rFont val="Yu Gothic"/>
        <family val="3"/>
        <charset val="128"/>
        <scheme val="minor"/>
      </rPr>
      <t>s</t>
    </r>
    <phoneticPr fontId="1"/>
  </si>
  <si>
    <r>
      <t>瓦ぶき（640）</t>
    </r>
    <r>
      <rPr>
        <vertAlign val="superscript"/>
        <sz val="11"/>
        <color theme="1"/>
        <rFont val="Yu Gothic"/>
        <family val="3"/>
        <charset val="128"/>
        <scheme val="minor"/>
      </rPr>
      <t>※１</t>
    </r>
    <r>
      <rPr>
        <sz val="11"/>
        <color theme="1"/>
        <rFont val="Yu Gothic"/>
        <family val="3"/>
        <charset val="128"/>
        <scheme val="minor"/>
      </rPr>
      <t>+小屋組（200）</t>
    </r>
    <r>
      <rPr>
        <vertAlign val="superscript"/>
        <sz val="11"/>
        <color theme="1"/>
        <rFont val="Yu Gothic"/>
        <family val="3"/>
        <charset val="128"/>
        <scheme val="minor"/>
      </rPr>
      <t>※2</t>
    </r>
    <r>
      <rPr>
        <sz val="11"/>
        <color theme="1"/>
        <rFont val="Yu Gothic"/>
        <family val="3"/>
        <charset val="128"/>
        <scheme val="minor"/>
      </rPr>
      <t>+打上げ天井（150）</t>
    </r>
    <r>
      <rPr>
        <vertAlign val="superscript"/>
        <sz val="11"/>
        <color theme="1"/>
        <rFont val="Yu Gothic"/>
        <family val="3"/>
        <charset val="128"/>
        <scheme val="minor"/>
      </rPr>
      <t>※1</t>
    </r>
    <phoneticPr fontId="1"/>
  </si>
  <si>
    <r>
      <t>スレートぶき（440）</t>
    </r>
    <r>
      <rPr>
        <vertAlign val="superscript"/>
        <sz val="11"/>
        <color theme="1"/>
        <rFont val="Yu Gothic"/>
        <family val="3"/>
        <charset val="128"/>
        <scheme val="minor"/>
      </rPr>
      <t>※１</t>
    </r>
    <r>
      <rPr>
        <sz val="11"/>
        <color theme="1"/>
        <rFont val="Yu Gothic"/>
        <family val="3"/>
        <charset val="128"/>
        <scheme val="minor"/>
      </rPr>
      <t>+小屋組（200）</t>
    </r>
    <r>
      <rPr>
        <vertAlign val="superscript"/>
        <sz val="11"/>
        <color theme="1"/>
        <rFont val="Yu Gothic"/>
        <family val="3"/>
        <charset val="128"/>
        <scheme val="minor"/>
      </rPr>
      <t>※2</t>
    </r>
    <r>
      <rPr>
        <sz val="11"/>
        <color theme="1"/>
        <rFont val="Yu Gothic"/>
        <family val="3"/>
        <charset val="128"/>
        <scheme val="minor"/>
      </rPr>
      <t>+さお縁天井（100）</t>
    </r>
    <r>
      <rPr>
        <vertAlign val="superscript"/>
        <sz val="11"/>
        <color theme="1"/>
        <rFont val="Yu Gothic"/>
        <family val="3"/>
        <charset val="128"/>
        <scheme val="minor"/>
      </rPr>
      <t>※1</t>
    </r>
    <phoneticPr fontId="1"/>
  </si>
  <si>
    <r>
      <t>鉄板かわら棒ぶき（200）</t>
    </r>
    <r>
      <rPr>
        <vertAlign val="superscript"/>
        <sz val="11"/>
        <color theme="1"/>
        <rFont val="Yu Gothic"/>
        <family val="3"/>
        <charset val="128"/>
        <scheme val="minor"/>
      </rPr>
      <t>※2</t>
    </r>
    <r>
      <rPr>
        <sz val="11"/>
        <color theme="1"/>
        <rFont val="Yu Gothic"/>
        <family val="3"/>
        <charset val="128"/>
        <scheme val="minor"/>
      </rPr>
      <t>+小屋組（200）</t>
    </r>
    <r>
      <rPr>
        <vertAlign val="superscript"/>
        <sz val="11"/>
        <color theme="1"/>
        <rFont val="Yu Gothic"/>
        <family val="3"/>
        <charset val="128"/>
        <scheme val="minor"/>
      </rPr>
      <t>※2</t>
    </r>
    <r>
      <rPr>
        <sz val="11"/>
        <color theme="1"/>
        <rFont val="Yu Gothic"/>
        <family val="3"/>
        <charset val="128"/>
        <scheme val="minor"/>
      </rPr>
      <t>+さお縁天井（100）</t>
    </r>
    <r>
      <rPr>
        <vertAlign val="superscript"/>
        <sz val="11"/>
        <color theme="1"/>
        <rFont val="Yu Gothic"/>
        <family val="3"/>
        <charset val="128"/>
        <scheme val="minor"/>
      </rPr>
      <t>※1</t>
    </r>
    <phoneticPr fontId="1"/>
  </si>
  <si>
    <r>
      <t>畳敷（340）</t>
    </r>
    <r>
      <rPr>
        <vertAlign val="superscript"/>
        <sz val="11"/>
        <color theme="1"/>
        <rFont val="Yu Gothic"/>
        <family val="3"/>
        <charset val="128"/>
        <scheme val="minor"/>
      </rPr>
      <t>※1</t>
    </r>
    <r>
      <rPr>
        <sz val="11"/>
        <color theme="1"/>
        <rFont val="Yu Gothic"/>
        <family val="3"/>
        <charset val="128"/>
        <scheme val="minor"/>
      </rPr>
      <t>+床ばり（170）</t>
    </r>
    <r>
      <rPr>
        <vertAlign val="superscript"/>
        <sz val="11"/>
        <color theme="1"/>
        <rFont val="Yu Gothic"/>
        <family val="3"/>
        <charset val="128"/>
        <scheme val="minor"/>
      </rPr>
      <t>※1</t>
    </r>
    <r>
      <rPr>
        <sz val="11"/>
        <color theme="1"/>
        <rFont val="Yu Gothic"/>
        <family val="3"/>
        <charset val="128"/>
        <scheme val="minor"/>
      </rPr>
      <t>＋さお縁天井（100）</t>
    </r>
    <r>
      <rPr>
        <vertAlign val="superscript"/>
        <sz val="11"/>
        <color theme="1"/>
        <rFont val="Yu Gothic"/>
        <family val="3"/>
        <charset val="128"/>
        <scheme val="minor"/>
      </rPr>
      <t>※1</t>
    </r>
    <rPh sb="0" eb="1">
      <t>タタミ</t>
    </rPh>
    <rPh sb="1" eb="2">
      <t>シキ</t>
    </rPh>
    <rPh sb="10" eb="11">
      <t>ユカ</t>
    </rPh>
    <phoneticPr fontId="1"/>
  </si>
  <si>
    <r>
      <t>W</t>
    </r>
    <r>
      <rPr>
        <i/>
        <vertAlign val="subscript"/>
        <sz val="11"/>
        <color theme="1"/>
        <rFont val="Yu Gothic"/>
        <family val="3"/>
        <charset val="128"/>
        <scheme val="minor"/>
      </rPr>
      <t xml:space="preserve">0 </t>
    </r>
    <phoneticPr fontId="1"/>
  </si>
  <si>
    <t>※出力結果が空白の場合は、入力内容が不足している可能性があります。</t>
    <rPh sb="1" eb="5">
      <t>シュツリョクケッカ</t>
    </rPh>
    <rPh sb="6" eb="8">
      <t>クウハク</t>
    </rPh>
    <rPh sb="9" eb="11">
      <t>バアイ</t>
    </rPh>
    <rPh sb="13" eb="17">
      <t>ニュウリョクナイヨウ</t>
    </rPh>
    <rPh sb="18" eb="20">
      <t>フソク</t>
    </rPh>
    <rPh sb="24" eb="27">
      <t>カノウセイ</t>
    </rPh>
    <phoneticPr fontId="1"/>
  </si>
  <si>
    <t>建物の頂点～小屋梁・桁上端までの距離</t>
    <rPh sb="0" eb="2">
      <t>タテモノ</t>
    </rPh>
    <rPh sb="3" eb="5">
      <t>チョウテン</t>
    </rPh>
    <rPh sb="6" eb="8">
      <t>コヤ</t>
    </rPh>
    <rPh sb="8" eb="9">
      <t>ハリ</t>
    </rPh>
    <rPh sb="10" eb="11">
      <t>ケタ</t>
    </rPh>
    <rPh sb="11" eb="13">
      <t>ジョウタン</t>
    </rPh>
    <rPh sb="16" eb="18">
      <t>キョリ</t>
    </rPh>
    <phoneticPr fontId="1"/>
  </si>
  <si>
    <t>建物の最高高さ―軒高さ(m)</t>
    <rPh sb="0" eb="2">
      <t>タテモノ</t>
    </rPh>
    <rPh sb="3" eb="5">
      <t>サイコウ</t>
    </rPh>
    <rPh sb="5" eb="6">
      <t>タカ</t>
    </rPh>
    <rPh sb="8" eb="9">
      <t>ノキ</t>
    </rPh>
    <rPh sb="9" eb="10">
      <t>タカ</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</si>
  <si>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</si>
  <si>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</si>
  <si>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5">
      <t>ケンチクシ</t>
    </rPh>
    <phoneticPr fontId="1"/>
  </si>
  <si>
    <r>
      <t>d</t>
    </r>
    <r>
      <rPr>
        <b/>
        <vertAlign val="subscript"/>
        <sz val="10"/>
        <color theme="1"/>
        <rFont val="Yu Gothic"/>
        <family val="3"/>
        <charset val="128"/>
        <scheme val="minor"/>
      </rPr>
      <t>e</t>
    </r>
    <r>
      <rPr>
        <b/>
        <sz val="10"/>
        <color theme="1"/>
        <rFont val="Yu Gothic"/>
        <family val="3"/>
        <charset val="128"/>
        <scheme val="minor"/>
      </rPr>
      <t>/</t>
    </r>
    <r>
      <rPr>
        <b/>
        <i/>
        <sz val="10"/>
        <color theme="1"/>
        <rFont val="Yu Gothic"/>
        <family val="3"/>
        <charset val="128"/>
        <scheme val="minor"/>
      </rPr>
      <t>l　</t>
    </r>
    <r>
      <rPr>
        <b/>
        <sz val="10"/>
        <color theme="1"/>
        <rFont val="Yu Gothic"/>
        <family val="3"/>
        <charset val="128"/>
        <scheme val="minor"/>
      </rPr>
      <t>*</t>
    </r>
    <r>
      <rPr>
        <b/>
        <vertAlign val="superscript"/>
        <sz val="10"/>
        <color theme="1"/>
        <rFont val="Yu Gothic"/>
        <family val="3"/>
        <charset val="128"/>
        <scheme val="minor"/>
      </rPr>
      <t>3</t>
    </r>
    <phoneticPr fontId="1"/>
  </si>
  <si>
    <r>
      <t>柱の小径</t>
    </r>
    <r>
      <rPr>
        <b/>
        <i/>
        <sz val="9"/>
        <color theme="1"/>
        <rFont val="Yu Gothic"/>
        <family val="3"/>
        <charset val="128"/>
        <scheme val="minor"/>
      </rPr>
      <t>d</t>
    </r>
    <r>
      <rPr>
        <b/>
        <vertAlign val="subscript"/>
        <sz val="9"/>
        <color theme="1"/>
        <rFont val="Yu Gothic"/>
        <family val="3"/>
        <charset val="128"/>
        <scheme val="minor"/>
      </rPr>
      <t>e</t>
    </r>
    <r>
      <rPr>
        <b/>
        <sz val="9"/>
        <color theme="1"/>
        <rFont val="Yu Gothic"/>
        <family val="3"/>
        <charset val="128"/>
        <scheme val="minor"/>
      </rPr>
      <t>　*</t>
    </r>
    <r>
      <rPr>
        <b/>
        <vertAlign val="superscript"/>
        <sz val="9"/>
        <color theme="1"/>
        <rFont val="Yu Gothic"/>
        <family val="3"/>
        <charset val="128"/>
        <scheme val="minor"/>
      </rPr>
      <t>4</t>
    </r>
    <r>
      <rPr>
        <b/>
        <sz val="9"/>
        <color theme="1"/>
        <rFont val="Yu Gothic"/>
        <family val="3"/>
        <charset val="128"/>
        <scheme val="minor"/>
      </rPr>
      <t xml:space="preserve">
(㎜以上)</t>
    </r>
    <rPh sb="0" eb="1">
      <t>ハシラ</t>
    </rPh>
    <rPh sb="2" eb="4">
      <t>ショウケイ</t>
    </rPh>
    <rPh sb="12" eb="14">
      <t>イジョウ</t>
    </rPh>
    <phoneticPr fontId="1"/>
  </si>
  <si>
    <r>
      <t>*</t>
    </r>
    <r>
      <rPr>
        <vertAlign val="superscript"/>
        <sz val="11"/>
        <color theme="1"/>
        <rFont val="Yu Gothic"/>
        <family val="3"/>
        <charset val="128"/>
        <scheme val="minor"/>
      </rPr>
      <t>3</t>
    </r>
    <r>
      <rPr>
        <sz val="11"/>
        <color theme="1"/>
        <rFont val="Yu Gothic"/>
        <family val="3"/>
        <charset val="128"/>
        <scheme val="minor"/>
      </rPr>
      <t>：柱の必要小径</t>
    </r>
    <r>
      <rPr>
        <i/>
        <sz val="11"/>
        <color theme="1"/>
        <rFont val="Yu Gothic"/>
        <family val="3"/>
        <charset val="128"/>
        <scheme val="minor"/>
      </rPr>
      <t>d</t>
    </r>
    <r>
      <rPr>
        <vertAlign val="subscript"/>
        <sz val="11"/>
        <color theme="1"/>
        <rFont val="Yu Gothic"/>
        <family val="3"/>
        <charset val="128"/>
        <scheme val="minor"/>
      </rPr>
      <t>e</t>
    </r>
    <r>
      <rPr>
        <sz val="11"/>
        <color theme="1"/>
        <rFont val="Yu Gothic"/>
        <family val="3"/>
        <charset val="128"/>
        <scheme val="minor"/>
      </rPr>
      <t>／横架材間距離</t>
    </r>
    <r>
      <rPr>
        <i/>
        <sz val="11"/>
        <color theme="1"/>
        <rFont val="Yu Gothic"/>
        <family val="3"/>
        <charset val="128"/>
        <scheme val="minor"/>
      </rPr>
      <t>l</t>
    </r>
    <rPh sb="3" eb="4">
      <t>ハシラ</t>
    </rPh>
    <rPh sb="5" eb="7">
      <t>ヒツヨウ</t>
    </rPh>
    <rPh sb="7" eb="9">
      <t>ショウケイ</t>
    </rPh>
    <rPh sb="12" eb="15">
      <t>オウカザイ</t>
    </rPh>
    <rPh sb="15" eb="16">
      <t>アイダ</t>
    </rPh>
    <rPh sb="16" eb="18">
      <t>キョリ</t>
    </rPh>
    <phoneticPr fontId="1"/>
  </si>
  <si>
    <t>　等級１：①に同じ</t>
    <rPh sb="1" eb="3">
      <t>トウキュウ</t>
    </rPh>
    <rPh sb="7" eb="8">
      <t>オナ</t>
    </rPh>
    <phoneticPr fontId="1"/>
  </si>
  <si>
    <t>等級2</t>
    <rPh sb="0" eb="2">
      <t>トウキュウ</t>
    </rPh>
    <phoneticPr fontId="1"/>
  </si>
  <si>
    <t>等級3</t>
    <rPh sb="0" eb="2">
      <t>トウキュウ</t>
    </rPh>
    <phoneticPr fontId="1"/>
  </si>
  <si>
    <t>基準法・等級1</t>
    <rPh sb="0" eb="3">
      <t>キジュンホウ</t>
    </rPh>
    <rPh sb="4" eb="6">
      <t>トウキュウ</t>
    </rPh>
    <phoneticPr fontId="1"/>
  </si>
  <si>
    <t>基準法用</t>
    <rPh sb="0" eb="4">
      <t>キジュンホウヨウ</t>
    </rPh>
    <phoneticPr fontId="1"/>
  </si>
  <si>
    <t>住宅性能表示制度用</t>
    <rPh sb="0" eb="8">
      <t>ジュウタクセイノウヒョウジセイド</t>
    </rPh>
    <rPh sb="8" eb="9">
      <t>ヨウ</t>
    </rPh>
    <phoneticPr fontId="1"/>
  </si>
  <si>
    <t>①’　積雪追加</t>
    <rPh sb="3" eb="7">
      <t>セキセツツイカ</t>
    </rPh>
    <phoneticPr fontId="1"/>
  </si>
  <si>
    <t>⑤'　積雪追加</t>
    <rPh sb="3" eb="7">
      <t>セキセツツイカ</t>
    </rPh>
    <phoneticPr fontId="1"/>
  </si>
  <si>
    <t>等級2/1.25</t>
    <rPh sb="0" eb="2">
      <t>トウキュウ</t>
    </rPh>
    <phoneticPr fontId="1"/>
  </si>
  <si>
    <t>性能表示制度用</t>
    <rPh sb="0" eb="6">
      <t>セイノウヒョウジセイド</t>
    </rPh>
    <rPh sb="6" eb="7">
      <t>ヨウ</t>
    </rPh>
    <phoneticPr fontId="1"/>
  </si>
  <si>
    <t>①’積雪追加</t>
    <rPh sb="2" eb="4">
      <t>セキセツ</t>
    </rPh>
    <rPh sb="4" eb="6">
      <t>ツイカ</t>
    </rPh>
    <phoneticPr fontId="1"/>
  </si>
  <si>
    <r>
      <t>床面積当たりの荷重(N/m</t>
    </r>
    <r>
      <rPr>
        <vertAlign val="superscript"/>
        <sz val="11"/>
        <color theme="1"/>
        <rFont val="Yu Gothic"/>
        <family val="3"/>
        <charset val="128"/>
        <scheme val="minor"/>
      </rPr>
      <t>2</t>
    </r>
    <r>
      <rPr>
        <sz val="11"/>
        <color theme="1"/>
        <rFont val="Yu Gothic"/>
        <family val="3"/>
        <charset val="128"/>
        <scheme val="minor"/>
      </rPr>
      <t>)</t>
    </r>
    <rPh sb="0" eb="3">
      <t>ユカメンセキ</t>
    </rPh>
    <rPh sb="3" eb="4">
      <t>ア</t>
    </rPh>
    <rPh sb="7" eb="9">
      <t>カジュウ</t>
    </rPh>
    <phoneticPr fontId="1"/>
  </si>
  <si>
    <r>
      <t>階高2.8m時の床面積当たりの荷重(N/m</t>
    </r>
    <r>
      <rPr>
        <vertAlign val="superscript"/>
        <sz val="11"/>
        <color theme="1"/>
        <rFont val="Yu Gothic"/>
        <family val="3"/>
        <charset val="128"/>
        <scheme val="minor"/>
      </rPr>
      <t>2</t>
    </r>
    <r>
      <rPr>
        <sz val="11"/>
        <color theme="1"/>
        <rFont val="Yu Gothic"/>
        <family val="3"/>
        <charset val="128"/>
        <scheme val="minor"/>
      </rPr>
      <t>/2.8m)</t>
    </r>
    <rPh sb="0" eb="2">
      <t>カイダカ</t>
    </rPh>
    <rPh sb="6" eb="7">
      <t>ジ</t>
    </rPh>
    <rPh sb="8" eb="11">
      <t>ユカメンセキ</t>
    </rPh>
    <rPh sb="11" eb="12">
      <t>ア</t>
    </rPh>
    <rPh sb="15" eb="17">
      <t>カジュウ</t>
    </rPh>
    <phoneticPr fontId="1"/>
  </si>
  <si>
    <r>
      <t>2階床面積(m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</si>
  <si>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1階床面積(m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</si>
  <si>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太陽光発電設備等(N/m</t>
    </r>
    <r>
      <rPr>
        <vertAlign val="superscript"/>
        <sz val="11"/>
        <color theme="1"/>
        <rFont val="Yu Gothic"/>
        <family val="3"/>
        <charset val="128"/>
        <scheme val="minor"/>
      </rPr>
      <t>2</t>
    </r>
    <r>
      <rPr>
        <sz val="11"/>
        <color theme="1"/>
        <rFont val="Yu Gothic"/>
        <family val="2"/>
        <scheme val="minor"/>
      </rPr>
      <t>)</t>
    </r>
    <rPh sb="0" eb="3">
      <t>タイヨウコウ</t>
    </rPh>
    <rPh sb="3" eb="5">
      <t>ハツデン</t>
    </rPh>
    <rPh sb="5" eb="7">
      <t>セツビ</t>
    </rPh>
    <rPh sb="7" eb="8">
      <t>トウ</t>
    </rPh>
    <phoneticPr fontId="1"/>
  </si>
  <si>
    <r>
      <t>外壁断熱材(N/m</t>
    </r>
    <r>
      <rPr>
        <vertAlign val="superscript"/>
        <sz val="11"/>
        <color theme="1"/>
        <rFont val="Yu Gothic"/>
        <family val="3"/>
        <charset val="128"/>
        <scheme val="minor"/>
      </rPr>
      <t>2</t>
    </r>
    <r>
      <rPr>
        <sz val="11"/>
        <color theme="1"/>
        <rFont val="Yu Gothic"/>
        <family val="2"/>
        <scheme val="minor"/>
      </rPr>
      <t>)</t>
    </r>
    <rPh sb="0" eb="2">
      <t>ガイヘキ</t>
    </rPh>
    <phoneticPr fontId="1"/>
  </si>
  <si>
    <r>
      <t>床面積当たりの積雪荷重（kN/m</t>
    </r>
    <r>
      <rPr>
        <vertAlign val="superscript"/>
        <sz val="11"/>
        <color theme="1"/>
        <rFont val="Yu Gothic"/>
        <family val="3"/>
        <charset val="128"/>
        <scheme val="minor"/>
      </rPr>
      <t>2</t>
    </r>
    <r>
      <rPr>
        <sz val="11"/>
        <color theme="1"/>
        <rFont val="Yu Gothic"/>
        <family val="3"/>
        <charset val="128"/>
        <scheme val="minor"/>
      </rPr>
      <t>）ただし、住宅性能表示制度を利用する場合における多雪区域の等級2，3のみ。</t>
    </r>
    <rPh sb="0" eb="3">
      <t>ユカメンセキ</t>
    </rPh>
    <rPh sb="3" eb="4">
      <t>ア</t>
    </rPh>
    <rPh sb="7" eb="11">
      <t>セキセツカジュウ</t>
    </rPh>
    <rPh sb="22" eb="30">
      <t>ジュウタクセイノウヒョウジセイド</t>
    </rPh>
    <rPh sb="31" eb="33">
      <t>リヨウ</t>
    </rPh>
    <rPh sb="35" eb="37">
      <t>バアイ</t>
    </rPh>
    <rPh sb="41" eb="43">
      <t>タセツ</t>
    </rPh>
    <rPh sb="43" eb="45">
      <t>クイキ</t>
    </rPh>
    <rPh sb="46" eb="48">
      <t>トウキュウ</t>
    </rPh>
    <phoneticPr fontId="1"/>
  </si>
  <si>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＝1+｛（1/√</t>
    </r>
    <r>
      <rPr>
        <i/>
        <sz val="11"/>
        <color theme="1"/>
        <rFont val="Yu Gothic"/>
        <family val="3"/>
        <charset val="128"/>
        <scheme val="minor"/>
      </rPr>
      <t>α</t>
    </r>
    <r>
      <rPr>
        <vertAlign val="subscript"/>
        <sz val="11"/>
        <color theme="1"/>
        <rFont val="Yu Gothic"/>
        <family val="3"/>
        <charset val="128"/>
        <scheme val="minor"/>
      </rPr>
      <t>i</t>
    </r>
    <r>
      <rPr>
        <sz val="11"/>
        <color theme="1"/>
        <rFont val="Yu Gothic"/>
        <family val="3"/>
        <charset val="128"/>
        <scheme val="minor"/>
      </rPr>
      <t>）－</t>
    </r>
    <r>
      <rPr>
        <i/>
        <sz val="11"/>
        <color theme="1"/>
        <rFont val="Yu Gothic"/>
        <family val="3"/>
        <charset val="128"/>
        <scheme val="minor"/>
      </rPr>
      <t>α</t>
    </r>
    <r>
      <rPr>
        <vertAlign val="subscript"/>
        <sz val="11"/>
        <color theme="1"/>
        <rFont val="Yu Gothic"/>
        <family val="3"/>
        <charset val="128"/>
        <scheme val="minor"/>
      </rPr>
      <t>i</t>
    </r>
    <r>
      <rPr>
        <sz val="11"/>
        <color theme="1"/>
        <rFont val="Yu Gothic"/>
        <family val="3"/>
        <charset val="128"/>
        <scheme val="minor"/>
      </rPr>
      <t>｝×2</t>
    </r>
    <r>
      <rPr>
        <i/>
        <sz val="11"/>
        <color theme="1"/>
        <rFont val="Yu Gothic"/>
        <family val="3"/>
        <charset val="128"/>
        <scheme val="minor"/>
      </rPr>
      <t>T</t>
    </r>
    <r>
      <rPr>
        <sz val="11"/>
        <color theme="1"/>
        <rFont val="Yu Gothic"/>
        <family val="3"/>
        <charset val="128"/>
        <scheme val="minor"/>
      </rPr>
      <t>/（1+３</t>
    </r>
    <r>
      <rPr>
        <i/>
        <sz val="11"/>
        <color theme="1"/>
        <rFont val="Yu Gothic"/>
        <family val="3"/>
        <charset val="128"/>
        <scheme val="minor"/>
      </rPr>
      <t>T</t>
    </r>
    <r>
      <rPr>
        <sz val="11"/>
        <color theme="1"/>
        <rFont val="Yu Gothic"/>
        <family val="3"/>
        <charset val="128"/>
        <scheme val="minor"/>
      </rPr>
      <t>）</t>
    </r>
    <phoneticPr fontId="1"/>
  </si>
  <si>
    <r>
      <t>建築物の</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を算出しようとする高さの部分が支える部分の固定荷重と積載荷重との和を当該建築物の地上部分の固定荷重と積載荷重との和で除した数値</t>
    </r>
    <phoneticPr fontId="1"/>
  </si>
  <si>
    <r>
      <t>固有周期</t>
    </r>
    <r>
      <rPr>
        <i/>
        <sz val="11"/>
        <color theme="1"/>
        <rFont val="Yu Gothic"/>
        <family val="3"/>
        <charset val="128"/>
        <scheme val="minor"/>
      </rPr>
      <t>T</t>
    </r>
    <r>
      <rPr>
        <sz val="11"/>
        <color theme="1"/>
        <rFont val="Yu Gothic"/>
        <family val="3"/>
        <charset val="128"/>
        <scheme val="minor"/>
      </rPr>
      <t>（秒）</t>
    </r>
    <phoneticPr fontId="1"/>
  </si>
  <si>
    <r>
      <t>0.03</t>
    </r>
    <r>
      <rPr>
        <i/>
        <sz val="11"/>
        <color theme="1"/>
        <rFont val="Yu Gothic"/>
        <family val="3"/>
        <charset val="128"/>
        <scheme val="minor"/>
      </rPr>
      <t>ｈ</t>
    </r>
    <r>
      <rPr>
        <sz val="11"/>
        <color theme="1"/>
        <rFont val="Yu Gothic"/>
        <family val="3"/>
        <charset val="128"/>
        <scheme val="minor"/>
      </rPr>
      <t>（秒）としている。</t>
    </r>
    <phoneticPr fontId="1"/>
  </si>
  <si>
    <r>
      <t>建築物の高さ</t>
    </r>
    <r>
      <rPr>
        <i/>
        <sz val="11"/>
        <color theme="1"/>
        <rFont val="Yu Gothic"/>
        <family val="3"/>
        <charset val="128"/>
        <scheme val="minor"/>
      </rPr>
      <t>ｈ</t>
    </r>
    <r>
      <rPr>
        <sz val="11"/>
        <color theme="1"/>
        <rFont val="Yu Gothic"/>
        <family val="3"/>
        <charset val="128"/>
        <scheme val="minor"/>
      </rPr>
      <t>（m）</t>
    </r>
    <rPh sb="0" eb="3">
      <t>ケンチクブツ</t>
    </rPh>
    <rPh sb="4" eb="5">
      <t>タカ</t>
    </rPh>
    <phoneticPr fontId="1"/>
  </si>
  <si>
    <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3"/>
        <charset val="128"/>
        <scheme val="minor"/>
      </rPr>
      <t>（kN）</t>
    </r>
    <phoneticPr fontId="1"/>
  </si>
  <si>
    <t>当該階が支えている部分の固定荷重と積載荷重の和。実況に応じた荷重（固定荷重、積載荷重）により算出（1－2項を参照）。多雪区域の等級2，3の場合は積雪荷重も加わる。</t>
    <rPh sb="0" eb="2">
      <t>トウガイ</t>
    </rPh>
    <rPh sb="2" eb="3">
      <t>カイ</t>
    </rPh>
    <rPh sb="4" eb="5">
      <t>ササ</t>
    </rPh>
    <rPh sb="9" eb="11">
      <t>ブブン</t>
    </rPh>
    <rPh sb="12" eb="16">
      <t>コテイカジュウ</t>
    </rPh>
    <rPh sb="17" eb="21">
      <t>セキサイカジュウ</t>
    </rPh>
    <rPh sb="22" eb="23">
      <t>ワ</t>
    </rPh>
    <rPh sb="52" eb="53">
      <t>コウ</t>
    </rPh>
    <rPh sb="54" eb="56">
      <t>サンショウ</t>
    </rPh>
    <rPh sb="58" eb="62">
      <t>タセツクイキ</t>
    </rPh>
    <rPh sb="63" eb="65">
      <t>トウキュウ</t>
    </rPh>
    <rPh sb="69" eb="71">
      <t>バアイ</t>
    </rPh>
    <rPh sb="72" eb="76">
      <t>セキセツカジュウ</t>
    </rPh>
    <rPh sb="77" eb="78">
      <t>クワ</t>
    </rPh>
    <phoneticPr fontId="1"/>
  </si>
  <si>
    <r>
      <t>Σ</t>
    </r>
    <r>
      <rPr>
        <i/>
        <sz val="11"/>
        <color theme="1"/>
        <rFont val="Yu Gothic"/>
        <family val="3"/>
        <charset val="128"/>
        <scheme val="minor"/>
      </rPr>
      <t>w</t>
    </r>
    <r>
      <rPr>
        <vertAlign val="subscript"/>
        <sz val="11"/>
        <color theme="1"/>
        <rFont val="Yu Gothic"/>
        <family val="3"/>
        <charset val="128"/>
        <scheme val="minor"/>
      </rPr>
      <t>2-2</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3"/>
        <charset val="128"/>
        <scheme val="minor"/>
      </rPr>
      <t>＋</t>
    </r>
    <r>
      <rPr>
        <i/>
        <sz val="11"/>
        <color theme="1"/>
        <rFont val="Yu Gothic"/>
        <family val="3"/>
        <charset val="128"/>
        <scheme val="minor"/>
      </rPr>
      <t>M</t>
    </r>
    <r>
      <rPr>
        <i/>
        <vertAlign val="subscript"/>
        <sz val="11"/>
        <color theme="1"/>
        <rFont val="Yu Gothic"/>
        <family val="3"/>
        <charset val="128"/>
        <scheme val="minor"/>
      </rPr>
      <t>s</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f2</t>
    </r>
    <r>
      <rPr>
        <sz val="11"/>
        <color theme="1"/>
        <rFont val="Yu Gothic"/>
        <family val="3"/>
        <charset val="128"/>
        <scheme val="minor"/>
      </rPr>
      <t xml:space="preserve"> ＋0.5×(</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f2</t>
    </r>
    <phoneticPr fontId="1"/>
  </si>
  <si>
    <r>
      <t>Σ</t>
    </r>
    <r>
      <rPr>
        <i/>
        <sz val="11"/>
        <color theme="1"/>
        <rFont val="Yu Gothic"/>
        <family val="3"/>
        <charset val="128"/>
        <scheme val="minor"/>
      </rPr>
      <t>w</t>
    </r>
    <r>
      <rPr>
        <vertAlign val="subscript"/>
        <sz val="11"/>
        <color theme="1"/>
        <rFont val="Yu Gothic"/>
        <family val="3"/>
        <charset val="128"/>
        <scheme val="minor"/>
      </rPr>
      <t>2-1</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3"/>
        <charset val="128"/>
        <scheme val="minor"/>
      </rPr>
      <t>＋</t>
    </r>
    <r>
      <rPr>
        <i/>
        <sz val="11"/>
        <color theme="1"/>
        <rFont val="Yu Gothic"/>
        <family val="3"/>
        <charset val="128"/>
        <scheme val="minor"/>
      </rPr>
      <t>D2</t>
    </r>
    <r>
      <rPr>
        <sz val="11"/>
        <color theme="1"/>
        <rFont val="Yu Gothic"/>
        <family val="3"/>
        <charset val="128"/>
        <scheme val="minor"/>
      </rPr>
      <t>＋</t>
    </r>
    <r>
      <rPr>
        <i/>
        <sz val="11"/>
        <color theme="1"/>
        <rFont val="Yu Gothic"/>
        <family val="3"/>
        <charset val="128"/>
        <scheme val="minor"/>
      </rPr>
      <t>M</t>
    </r>
    <r>
      <rPr>
        <i/>
        <vertAlign val="subscript"/>
        <sz val="11"/>
        <color theme="1"/>
        <rFont val="Yu Gothic"/>
        <family val="3"/>
        <charset val="128"/>
        <scheme val="minor"/>
      </rPr>
      <t>s</t>
    </r>
    <r>
      <rPr>
        <sz val="11"/>
        <color theme="1"/>
        <rFont val="Yu Gothic"/>
        <family val="3"/>
        <charset val="128"/>
        <scheme val="minor"/>
      </rPr>
      <t>）×max(</t>
    </r>
    <r>
      <rPr>
        <i/>
        <sz val="11"/>
        <color theme="1"/>
        <rFont val="Yu Gothic"/>
        <family val="3"/>
        <charset val="128"/>
        <scheme val="minor"/>
      </rPr>
      <t>A</t>
    </r>
    <r>
      <rPr>
        <i/>
        <vertAlign val="subscript"/>
        <sz val="11"/>
        <color theme="1"/>
        <rFont val="Yu Gothic"/>
        <family val="3"/>
        <charset val="128"/>
        <scheme val="minor"/>
      </rPr>
      <t>f1</t>
    </r>
    <r>
      <rPr>
        <sz val="11"/>
        <color theme="1"/>
        <rFont val="Yu Gothic"/>
        <family val="3"/>
        <charset val="128"/>
        <scheme val="minor"/>
      </rPr>
      <t>,</t>
    </r>
    <r>
      <rPr>
        <i/>
        <sz val="11"/>
        <color theme="1"/>
        <rFont val="Yu Gothic"/>
        <family val="3"/>
        <charset val="128"/>
        <scheme val="minor"/>
      </rPr>
      <t>A</t>
    </r>
    <r>
      <rPr>
        <i/>
        <vertAlign val="subscript"/>
        <sz val="11"/>
        <color theme="1"/>
        <rFont val="Yu Gothic"/>
        <family val="3"/>
        <charset val="128"/>
        <scheme val="minor"/>
      </rPr>
      <t>f2</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f2</t>
    </r>
    <r>
      <rPr>
        <sz val="11"/>
        <color theme="1"/>
        <rFont val="Yu Gothic"/>
        <family val="3"/>
        <charset val="128"/>
        <scheme val="minor"/>
      </rPr>
      <t>＋0.5×(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f1</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3"/>
        <charset val="128"/>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f2</t>
    </r>
    <phoneticPr fontId="1"/>
  </si>
  <si>
    <r>
      <t>Σ</t>
    </r>
    <r>
      <rPr>
        <i/>
        <sz val="11"/>
        <color theme="1"/>
        <rFont val="Yu Gothic"/>
        <family val="3"/>
        <charset val="128"/>
        <scheme val="minor"/>
      </rPr>
      <t>w</t>
    </r>
    <r>
      <rPr>
        <vertAlign val="subscript"/>
        <sz val="11"/>
        <color theme="1"/>
        <rFont val="Yu Gothic"/>
        <family val="3"/>
        <charset val="128"/>
        <scheme val="minor"/>
      </rPr>
      <t>1</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3"/>
        <charset val="128"/>
        <scheme val="minor"/>
      </rPr>
      <t>＋</t>
    </r>
    <r>
      <rPr>
        <i/>
        <sz val="11"/>
        <color theme="1"/>
        <rFont val="Yu Gothic"/>
        <family val="3"/>
        <charset val="128"/>
        <scheme val="minor"/>
      </rPr>
      <t>M</t>
    </r>
    <r>
      <rPr>
        <i/>
        <vertAlign val="subscript"/>
        <sz val="11"/>
        <color theme="1"/>
        <rFont val="Yu Gothic"/>
        <family val="3"/>
        <charset val="128"/>
        <scheme val="minor"/>
      </rPr>
      <t>s</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f1</t>
    </r>
    <r>
      <rPr>
        <sz val="11"/>
        <color theme="1"/>
        <rFont val="Yu Gothic"/>
        <family val="3"/>
        <charset val="128"/>
        <scheme val="minor"/>
      </rPr>
      <t xml:space="preserve"> ＋0.5×(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3"/>
        <charset val="128"/>
        <scheme val="minor"/>
      </rPr>
      <t>＋</t>
    </r>
    <r>
      <rPr>
        <i/>
        <sz val="11"/>
        <color theme="1"/>
        <rFont val="Yu Gothic"/>
        <family val="3"/>
        <charset val="128"/>
        <scheme val="minor"/>
      </rPr>
      <t>G</t>
    </r>
    <r>
      <rPr>
        <vertAlign val="subscript"/>
        <sz val="11"/>
        <color theme="1"/>
        <rFont val="Yu Gothic"/>
        <family val="3"/>
        <charset val="128"/>
        <scheme val="minor"/>
      </rPr>
      <t>3iw1</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3"/>
        <charset val="128"/>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f1</t>
    </r>
    <phoneticPr fontId="1"/>
  </si>
  <si>
    <r>
      <rPr>
        <i/>
        <sz val="11"/>
        <color theme="1"/>
        <rFont val="Yu Gothic"/>
        <family val="3"/>
        <charset val="128"/>
        <scheme val="minor"/>
      </rPr>
      <t>G</t>
    </r>
    <r>
      <rPr>
        <vertAlign val="subscript"/>
        <sz val="11"/>
        <color theme="1"/>
        <rFont val="Yu Gothic"/>
        <family val="3"/>
        <charset val="128"/>
        <scheme val="minor"/>
      </rPr>
      <t>r</t>
    </r>
    <phoneticPr fontId="1"/>
  </si>
  <si>
    <r>
      <rPr>
        <i/>
        <sz val="11"/>
        <color theme="1"/>
        <rFont val="Yu Gothic"/>
        <family val="3"/>
        <charset val="128"/>
        <scheme val="minor"/>
      </rPr>
      <t>G</t>
    </r>
    <r>
      <rPr>
        <vertAlign val="subscript"/>
        <sz val="11"/>
        <color theme="1"/>
        <rFont val="Yu Gothic"/>
        <family val="3"/>
        <charset val="128"/>
        <scheme val="minor"/>
      </rPr>
      <t>ow2</t>
    </r>
    <phoneticPr fontId="1"/>
  </si>
  <si>
    <r>
      <t>床面積当たりの2階の外壁荷重（kN/m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2">
      <t>ガイヘキ</t>
    </rPh>
    <rPh sb="12" eb="14">
      <t>カジュウ</t>
    </rPh>
    <phoneticPr fontId="1"/>
  </si>
  <si>
    <r>
      <rPr>
        <i/>
        <sz val="11"/>
        <color theme="1"/>
        <rFont val="Yu Gothic"/>
        <family val="3"/>
        <charset val="128"/>
        <scheme val="minor"/>
      </rPr>
      <t>G</t>
    </r>
    <r>
      <rPr>
        <vertAlign val="subscript"/>
        <sz val="11"/>
        <color theme="1"/>
        <rFont val="Yu Gothic"/>
        <family val="3"/>
        <charset val="128"/>
        <scheme val="minor"/>
      </rPr>
      <t>iw2</t>
    </r>
    <phoneticPr fontId="1"/>
  </si>
  <si>
    <r>
      <t>床面積当たりの2階の内壁荷重（kN/m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ウチ</t>
    </rPh>
    <rPh sb="11" eb="12">
      <t>カベ</t>
    </rPh>
    <rPh sb="12" eb="14">
      <t>カジュウ</t>
    </rPh>
    <phoneticPr fontId="1"/>
  </si>
  <si>
    <r>
      <t>床面積当たりの1階の外壁荷重（kN/m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2">
      <t>ガイヘキ</t>
    </rPh>
    <rPh sb="12" eb="14">
      <t>カジュウ</t>
    </rPh>
    <phoneticPr fontId="1"/>
  </si>
  <si>
    <r>
      <t>床面積当たりの1階の内壁荷重（kN/m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ウチ</t>
    </rPh>
    <rPh sb="11" eb="12">
      <t>カベ</t>
    </rPh>
    <rPh sb="12" eb="14">
      <t>カジュウ</t>
    </rPh>
    <phoneticPr fontId="1"/>
  </si>
  <si>
    <r>
      <rPr>
        <i/>
        <sz val="11"/>
        <color theme="1"/>
        <rFont val="Yu Gothic"/>
        <family val="3"/>
        <charset val="128"/>
        <scheme val="minor"/>
      </rPr>
      <t>G</t>
    </r>
    <r>
      <rPr>
        <vertAlign val="subscript"/>
        <sz val="11"/>
        <color theme="1"/>
        <rFont val="Yu Gothic"/>
        <family val="3"/>
        <charset val="128"/>
        <scheme val="minor"/>
      </rPr>
      <t>iw1</t>
    </r>
    <phoneticPr fontId="1"/>
  </si>
  <si>
    <r>
      <rPr>
        <i/>
        <sz val="11"/>
        <color theme="1"/>
        <rFont val="Yu Gothic"/>
        <family val="3"/>
        <charset val="128"/>
        <scheme val="minor"/>
      </rPr>
      <t>G</t>
    </r>
    <r>
      <rPr>
        <vertAlign val="subscript"/>
        <sz val="11"/>
        <color theme="1"/>
        <rFont val="Yu Gothic"/>
        <family val="3"/>
        <charset val="128"/>
        <scheme val="minor"/>
      </rPr>
      <t>ow1</t>
    </r>
    <phoneticPr fontId="1"/>
  </si>
  <si>
    <r>
      <rPr>
        <i/>
        <sz val="11"/>
        <color theme="1"/>
        <rFont val="Yu Gothic"/>
        <family val="3"/>
        <charset val="128"/>
        <scheme val="minor"/>
      </rPr>
      <t>G</t>
    </r>
    <r>
      <rPr>
        <vertAlign val="subscript"/>
        <sz val="11"/>
        <color theme="1"/>
        <rFont val="Yu Gothic"/>
        <family val="3"/>
        <charset val="128"/>
        <scheme val="minor"/>
      </rPr>
      <t>f</t>
    </r>
    <phoneticPr fontId="1"/>
  </si>
  <si>
    <r>
      <rPr>
        <i/>
        <sz val="11"/>
        <color theme="1"/>
        <rFont val="Yu Gothic"/>
        <family val="3"/>
        <charset val="128"/>
        <scheme val="minor"/>
      </rPr>
      <t>W</t>
    </r>
    <r>
      <rPr>
        <vertAlign val="subscript"/>
        <sz val="11"/>
        <color theme="1"/>
        <rFont val="Yu Gothic"/>
        <family val="3"/>
        <charset val="128"/>
        <scheme val="minor"/>
      </rPr>
      <t>dO2-2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</si>
  <si>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</si>
  <si>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dI2-1</t>
    </r>
    <r>
      <rPr>
        <sz val="11"/>
        <color theme="1"/>
        <rFont val="Yu Gothic"/>
        <family val="2"/>
        <scheme val="minor"/>
      </rPr>
      <t>＝（</t>
    </r>
    <r>
      <rPr>
        <i/>
        <sz val="11"/>
        <color theme="1"/>
        <rFont val="Yu Gothic"/>
        <family val="3"/>
        <charset val="128"/>
        <scheme val="minor"/>
      </rPr>
      <t>G</t>
    </r>
    <r>
      <rPr>
        <i/>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G</t>
    </r>
    <r>
      <rPr>
        <i/>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</si>
  <si>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dO1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</si>
  <si>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</si>
  <si>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dO2-1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phoneticPr fontId="1"/>
  </si>
  <si>
    <t>・プルダウンメニューには一般流通していない木材も存在する。材料の選択にあたっては、調達可能な材料であるこ</t>
    <rPh sb="12" eb="16">
      <t>イッパンリュウツウ</t>
    </rPh>
    <rPh sb="21" eb="23">
      <t>モクザイ</t>
    </rPh>
    <rPh sb="24" eb="26">
      <t>ソンザイ</t>
    </rPh>
    <phoneticPr fontId="1"/>
  </si>
  <si>
    <r>
      <t>・2-1は柱の等級と種類が無等級材すぎ（圧縮の基準強度17.7N/㎜</t>
    </r>
    <r>
      <rPr>
        <vertAlign val="superscript"/>
        <sz val="11"/>
        <color theme="1"/>
        <rFont val="ＭＳ ゴシック"/>
        <family val="3"/>
        <charset val="128"/>
      </rPr>
      <t>2</t>
    </r>
    <r>
      <rPr>
        <sz val="11"/>
        <color theme="1"/>
        <rFont val="ＭＳ ゴシック"/>
        <family val="3"/>
        <charset val="128"/>
      </rPr>
      <t>）前提とした算定方法であるのに対し、2-2は柱</t>
    </r>
    <rPh sb="20" eb="22">
      <t>アッシュク</t>
    </rPh>
    <rPh sb="23" eb="27">
      <t>キジュンキョウド</t>
    </rPh>
    <rPh sb="36" eb="38">
      <t>ゼンテイ</t>
    </rPh>
    <phoneticPr fontId="1"/>
  </si>
  <si>
    <t xml:space="preserve">   の圧縮の基準強度FcをJAS等の規格ごと、樹種ごと、等級ごとに選択できるようにしたものである。</t>
    <phoneticPr fontId="1"/>
  </si>
  <si>
    <t>　とを取引先に事前に確認すること。</t>
    <phoneticPr fontId="1"/>
  </si>
  <si>
    <t>横架材間距離（㎜）。2階建ての1階の横架材間距離は階高から梁せい120㎜を、2階建ての2階及び平屋の横架材間距離は階高から梁せい105㎜を引いて算出している。</t>
    <rPh sb="0" eb="3">
      <t>オウカザイ</t>
    </rPh>
    <rPh sb="3" eb="4">
      <t>アイダ</t>
    </rPh>
    <rPh sb="4" eb="6">
      <t>キョリ</t>
    </rPh>
    <rPh sb="11" eb="13">
      <t>カイダ</t>
    </rPh>
    <rPh sb="39" eb="40">
      <t>カイ</t>
    </rPh>
    <rPh sb="40" eb="41">
      <t>ダ</t>
    </rPh>
    <rPh sb="44" eb="45">
      <t>カイ</t>
    </rPh>
    <rPh sb="45" eb="46">
      <t>オヨ</t>
    </rPh>
    <rPh sb="47" eb="49">
      <t>ヒラヤ</t>
    </rPh>
    <phoneticPr fontId="1"/>
  </si>
  <si>
    <t>・2-3は表計算ツールによって、柱の負担可能面積を求めた後、別途平面図等を利用して柱の割り付け作業が必要と</t>
    <rPh sb="5" eb="8">
      <t>ヒョウケイサン</t>
    </rPh>
    <rPh sb="16" eb="17">
      <t>ハシラ</t>
    </rPh>
    <rPh sb="18" eb="24">
      <t>フタンカノウメンセキ</t>
    </rPh>
    <rPh sb="25" eb="26">
      <t>モト</t>
    </rPh>
    <rPh sb="28" eb="29">
      <t>アト</t>
    </rPh>
    <rPh sb="30" eb="32">
      <t>ベット</t>
    </rPh>
    <rPh sb="32" eb="35">
      <t>ヘイメンズ</t>
    </rPh>
    <rPh sb="35" eb="36">
      <t>トウ</t>
    </rPh>
    <rPh sb="37" eb="39">
      <t>リヨウ</t>
    </rPh>
    <rPh sb="41" eb="42">
      <t>ハシラ</t>
    </rPh>
    <rPh sb="43" eb="44">
      <t>ワ</t>
    </rPh>
    <rPh sb="45" eb="46">
      <t>ツ</t>
    </rPh>
    <rPh sb="47" eb="49">
      <t>サギョウ</t>
    </rPh>
    <rPh sb="50" eb="52">
      <t>ヒツヨウ</t>
    </rPh>
    <phoneticPr fontId="1"/>
  </si>
  <si>
    <t>　なるので注意を要する。</t>
    <phoneticPr fontId="1"/>
  </si>
  <si>
    <t>仕様①</t>
    <rPh sb="0" eb="2">
      <t>シヨウ</t>
    </rPh>
    <phoneticPr fontId="1"/>
  </si>
  <si>
    <t>仕様②</t>
    <rPh sb="0" eb="2">
      <t>シヨウ</t>
    </rPh>
    <phoneticPr fontId="1"/>
  </si>
  <si>
    <t>設計者</t>
    <rPh sb="0" eb="3">
      <t>セッケイシャ</t>
    </rPh>
    <phoneticPr fontId="1"/>
  </si>
  <si>
    <t>登録番号</t>
    <rPh sb="0" eb="4">
      <t>トウロクバンゴウ</t>
    </rPh>
    <phoneticPr fontId="1"/>
  </si>
  <si>
    <t>登録第</t>
    <rPh sb="0" eb="2">
      <t>トウロク</t>
    </rPh>
    <rPh sb="2" eb="3">
      <t>ダイ</t>
    </rPh>
    <phoneticPr fontId="1"/>
  </si>
  <si>
    <t>氏名</t>
    <rPh sb="0" eb="2">
      <t>シメイ</t>
    </rPh>
    <phoneticPr fontId="1"/>
  </si>
  <si>
    <t>建築士事務所名</t>
    <rPh sb="0" eb="7">
      <t>ケンチクシジムショメイ</t>
    </rPh>
    <phoneticPr fontId="1"/>
  </si>
  <si>
    <t>知事</t>
    <phoneticPr fontId="1"/>
  </si>
  <si>
    <t>表1－5　鉛直構面の固定荷重の数値と根拠</t>
    <rPh sb="0" eb="1">
      <t>ヒョウ</t>
    </rPh>
    <rPh sb="5" eb="7">
      <t>エンチョク</t>
    </rPh>
    <rPh sb="7" eb="9">
      <t>カマメン</t>
    </rPh>
    <rPh sb="10" eb="14">
      <t>コテイカジュウ</t>
    </rPh>
    <rPh sb="15" eb="17">
      <t>スウチ</t>
    </rPh>
    <rPh sb="18" eb="20">
      <t>コンキョ</t>
    </rPh>
    <phoneticPr fontId="1"/>
  </si>
  <si>
    <t>E85</t>
    <phoneticPr fontId="1"/>
  </si>
  <si>
    <t>E85-F300</t>
    <phoneticPr fontId="1"/>
  </si>
  <si>
    <t>E85-F270</t>
    <phoneticPr fontId="1"/>
  </si>
  <si>
    <t>E85-F255</t>
    <phoneticPr fontId="1"/>
  </si>
  <si>
    <t>壁量等の基準(令和7年施行)に対応した表計算ツール（多機能版）の解説・注意事項</t>
    <rPh sb="11" eb="13">
      <t>セコウ</t>
    </rPh>
    <rPh sb="19" eb="22">
      <t>ヒョウケイサン</t>
    </rPh>
    <rPh sb="26" eb="30">
      <t>タキノウバン</t>
    </rPh>
    <rPh sb="32" eb="34">
      <t>カイセツ</t>
    </rPh>
    <rPh sb="35" eb="39">
      <t>チュウイジコウ</t>
    </rPh>
    <phoneticPr fontId="1"/>
  </si>
  <si>
    <r>
      <t>※「2.柱の小径</t>
    </r>
    <r>
      <rPr>
        <i/>
        <sz val="11"/>
        <color theme="1"/>
        <rFont val="Yu Gothic"/>
        <family val="3"/>
        <charset val="128"/>
        <scheme val="minor"/>
      </rPr>
      <t>d</t>
    </r>
    <r>
      <rPr>
        <vertAlign val="subscript"/>
        <sz val="11"/>
        <color theme="1"/>
        <rFont val="Yu Gothic"/>
        <family val="3"/>
        <charset val="128"/>
        <scheme val="minor"/>
      </rPr>
      <t>e</t>
    </r>
    <r>
      <rPr>
        <sz val="11"/>
        <color theme="1"/>
        <rFont val="Yu Gothic"/>
        <family val="3"/>
        <charset val="128"/>
        <scheme val="minor"/>
      </rPr>
      <t>の算定」においては単位をN/m</t>
    </r>
    <r>
      <rPr>
        <vertAlign val="superscript"/>
        <sz val="11"/>
        <color theme="1"/>
        <rFont val="Yu Gothic"/>
        <family val="3"/>
        <charset val="128"/>
        <scheme val="minor"/>
      </rPr>
      <t>2</t>
    </r>
    <r>
      <rPr>
        <sz val="11"/>
        <color theme="1"/>
        <rFont val="Yu Gothic"/>
        <family val="3"/>
        <charset val="128"/>
        <scheme val="minor"/>
      </rPr>
      <t>とする</t>
    </r>
    <phoneticPr fontId="1"/>
  </si>
  <si>
    <t>あり(200)</t>
    <phoneticPr fontId="1"/>
  </si>
  <si>
    <t>あり(任意入力)</t>
    <rPh sb="3" eb="7">
      <t>ニンイニュウリョク</t>
    </rPh>
    <phoneticPr fontId="1"/>
  </si>
  <si>
    <t>天井断熱材(100)</t>
    <rPh sb="0" eb="2">
      <t>テンジョウ</t>
    </rPh>
    <rPh sb="2" eb="5">
      <t>ダンネツザイ</t>
    </rPh>
    <phoneticPr fontId="1"/>
  </si>
  <si>
    <t>天井断熱材(任意入力)</t>
    <rPh sb="0" eb="2">
      <t>テンジョウ</t>
    </rPh>
    <rPh sb="2" eb="5">
      <t>ダンネツザイ</t>
    </rPh>
    <rPh sb="6" eb="8">
      <t>ニンイ</t>
    </rPh>
    <rPh sb="8" eb="10">
      <t>ニュウリョク</t>
    </rPh>
    <phoneticPr fontId="1"/>
  </si>
  <si>
    <t>断熱材の総面積と密度と厚さで設定可能。</t>
    <rPh sb="0" eb="3">
      <t>ダンネツザイ</t>
    </rPh>
    <rPh sb="4" eb="5">
      <t>ソウ</t>
    </rPh>
    <rPh sb="5" eb="7">
      <t>メンセキ</t>
    </rPh>
    <rPh sb="8" eb="10">
      <t>ミツド</t>
    </rPh>
    <rPh sb="11" eb="12">
      <t>アツ</t>
    </rPh>
    <rPh sb="14" eb="16">
      <t>セッテイ</t>
    </rPh>
    <rPh sb="16" eb="18">
      <t>カノウ</t>
    </rPh>
    <phoneticPr fontId="1"/>
  </si>
  <si>
    <t>左記の値×断熱材の総面積／1階床面積と2階床面積のうち大きい方の面積</t>
    <rPh sb="0" eb="2">
      <t>サキ</t>
    </rPh>
    <rPh sb="3" eb="4">
      <t>アタイ</t>
    </rPh>
    <rPh sb="5" eb="8">
      <t>ダンネツザイ</t>
    </rPh>
    <rPh sb="9" eb="10">
      <t>ソウ</t>
    </rPh>
    <rPh sb="10" eb="12">
      <t>メンセキ</t>
    </rPh>
    <rPh sb="14" eb="15">
      <t>カイ</t>
    </rPh>
    <rPh sb="15" eb="18">
      <t>ユカメンセキ</t>
    </rPh>
    <rPh sb="20" eb="21">
      <t>カイ</t>
    </rPh>
    <rPh sb="21" eb="24">
      <t>ユカメンセキ</t>
    </rPh>
    <rPh sb="27" eb="28">
      <t>オオ</t>
    </rPh>
    <rPh sb="30" eb="31">
      <t>ホウ</t>
    </rPh>
    <rPh sb="32" eb="34">
      <t>メンセキ</t>
    </rPh>
    <phoneticPr fontId="1"/>
  </si>
  <si>
    <t>（参考：長期優良住宅に係る認定基準　技術解説　令和6年4月1日版）</t>
    <rPh sb="1" eb="3">
      <t>サンコウ</t>
    </rPh>
    <rPh sb="4" eb="6">
      <t>チョウキ</t>
    </rPh>
    <rPh sb="6" eb="8">
      <t>ユウリョウ</t>
    </rPh>
    <rPh sb="8" eb="10">
      <t>ジュウタク</t>
    </rPh>
    <rPh sb="11" eb="12">
      <t>カカ</t>
    </rPh>
    <rPh sb="13" eb="17">
      <t>ニンテイキジュン</t>
    </rPh>
    <rPh sb="18" eb="20">
      <t>ギジュツ</t>
    </rPh>
    <rPh sb="20" eb="22">
      <t>カイセツ</t>
    </rPh>
    <rPh sb="23" eb="25">
      <t>レイワ</t>
    </rPh>
    <rPh sb="26" eb="27">
      <t>ネン</t>
    </rPh>
    <rPh sb="28" eb="29">
      <t>ガツ</t>
    </rPh>
    <rPh sb="30" eb="31">
      <t>ニチ</t>
    </rPh>
    <rPh sb="31" eb="32">
      <t>バン</t>
    </rPh>
    <phoneticPr fontId="1"/>
  </si>
  <si>
    <r>
      <t>※使い方：</t>
    </r>
    <r>
      <rPr>
        <b/>
        <sz val="11"/>
        <color theme="1"/>
        <rFont val="HG丸ｺﾞｼｯｸM-PRO"/>
        <family val="3"/>
        <charset val="128"/>
      </rPr>
      <t>緑</t>
    </r>
    <r>
      <rPr>
        <sz val="11"/>
        <color theme="1"/>
        <rFont val="HG丸ｺﾞｼｯｸM-PRO"/>
        <family val="3"/>
        <charset val="128"/>
      </rPr>
      <t>の枠に必要事項を入力すると</t>
    </r>
    <r>
      <rPr>
        <b/>
        <sz val="11"/>
        <color theme="5"/>
        <rFont val="HG丸ｺﾞｼｯｸM-PRO"/>
        <family val="3"/>
        <charset val="128"/>
      </rPr>
      <t>オレンジ</t>
    </r>
    <r>
      <rPr>
        <sz val="11"/>
        <color theme="1"/>
        <rFont val="HG丸ｺﾞｼｯｸM-PRO"/>
        <family val="3"/>
        <charset val="128"/>
      </rPr>
      <t>の枠に結果が出力されます。</t>
    </r>
    <rPh sb="1" eb="2">
      <t>ツカ</t>
    </rPh>
    <rPh sb="3" eb="4">
      <t>カタ</t>
    </rPh>
    <rPh sb="5" eb="6">
      <t>ミドリ</t>
    </rPh>
    <rPh sb="7" eb="8">
      <t>ワク</t>
    </rPh>
    <rPh sb="9" eb="13">
      <t>ヒツヨウジコウ</t>
    </rPh>
    <rPh sb="14" eb="16">
      <t>ニュウリョク</t>
    </rPh>
    <rPh sb="24" eb="25">
      <t>ワク</t>
    </rPh>
    <rPh sb="26" eb="28">
      <t>ケッカ</t>
    </rPh>
    <rPh sb="29" eb="31">
      <t>シュツリョク</t>
    </rPh>
    <phoneticPr fontId="1"/>
  </si>
  <si>
    <r>
      <t>2階階高h</t>
    </r>
    <r>
      <rPr>
        <vertAlign val="subscript"/>
        <sz val="11"/>
        <color theme="1"/>
        <rFont val="Yu Gothic"/>
        <family val="3"/>
        <charset val="128"/>
        <scheme val="minor"/>
      </rPr>
      <t>2</t>
    </r>
    <r>
      <rPr>
        <sz val="11"/>
        <color theme="1"/>
        <rFont val="Yu Gothic"/>
        <family val="2"/>
        <scheme val="minor"/>
      </rPr>
      <t>（ｍ）</t>
    </r>
    <rPh sb="2" eb="4">
      <t>カイダカ</t>
    </rPh>
    <phoneticPr fontId="1"/>
  </si>
  <si>
    <r>
      <t>1階階高h</t>
    </r>
    <r>
      <rPr>
        <vertAlign val="subscript"/>
        <sz val="11"/>
        <color theme="1"/>
        <rFont val="Yu Gothic"/>
        <family val="3"/>
        <charset val="128"/>
        <scheme val="minor"/>
      </rPr>
      <t>1</t>
    </r>
    <r>
      <rPr>
        <sz val="11"/>
        <color theme="1"/>
        <rFont val="Yu Gothic"/>
        <family val="2"/>
        <scheme val="minor"/>
      </rPr>
      <t>（ｍ）</t>
    </r>
    <rPh sb="2" eb="4">
      <t>カイダカ</t>
    </rPh>
    <phoneticPr fontId="1"/>
  </si>
  <si>
    <t>壁量等の基準(令和7年施行)に対応した表計算ツール（２階建て用）（多機能版）</t>
    <rPh sb="0" eb="2">
      <t>カベリョウ</t>
    </rPh>
    <rPh sb="2" eb="3">
      <t>トウ</t>
    </rPh>
    <rPh sb="4" eb="6">
      <t>キジュン</t>
    </rPh>
    <rPh sb="7" eb="9">
      <t>レイワ</t>
    </rPh>
    <rPh sb="10" eb="11">
      <t>ネン</t>
    </rPh>
    <rPh sb="11" eb="13">
      <t>セコウ</t>
    </rPh>
    <rPh sb="15" eb="17">
      <t>タイオウ</t>
    </rPh>
    <rPh sb="19" eb="22">
      <t>ヒョウケイサン</t>
    </rPh>
    <rPh sb="27" eb="29">
      <t>カイダ</t>
    </rPh>
    <rPh sb="30" eb="31">
      <t>ヨウ</t>
    </rPh>
    <rPh sb="33" eb="37">
      <t>タキノウバン</t>
    </rPh>
    <phoneticPr fontId="1"/>
  </si>
  <si>
    <t>i階部分の柱の単位面積あたりの負担荷重の算出方法は下記のとおりである。</t>
    <rPh sb="20" eb="24">
      <t>サンシュツホウホウ</t>
    </rPh>
    <rPh sb="25" eb="27">
      <t>カキ</t>
    </rPh>
    <phoneticPr fontId="1"/>
  </si>
  <si>
    <t>壁量等の基準(令和7年施行)に対応した表計算ツール（平屋建て用）（多機能版）</t>
    <rPh sb="0" eb="2">
      <t>カベリョウ</t>
    </rPh>
    <rPh sb="2" eb="3">
      <t>トウ</t>
    </rPh>
    <rPh sb="4" eb="6">
      <t>キジュン</t>
    </rPh>
    <rPh sb="7" eb="9">
      <t>レイワ</t>
    </rPh>
    <rPh sb="10" eb="11">
      <t>ネン</t>
    </rPh>
    <rPh sb="11" eb="13">
      <t>セコウ</t>
    </rPh>
    <rPh sb="15" eb="17">
      <t>タイオウ</t>
    </rPh>
    <rPh sb="19" eb="22">
      <t>ヒョウケイサン</t>
    </rPh>
    <rPh sb="26" eb="28">
      <t>ヒラヤ</t>
    </rPh>
    <rPh sb="28" eb="29">
      <t>ダ</t>
    </rPh>
    <rPh sb="30" eb="31">
      <t>ヨウ</t>
    </rPh>
    <rPh sb="33" eb="37">
      <t>タキノウバン</t>
    </rPh>
    <phoneticPr fontId="1"/>
  </si>
  <si>
    <r>
      <t xml:space="preserve">あり(200)
</t>
    </r>
    <r>
      <rPr>
        <sz val="10"/>
        <color theme="1"/>
        <rFont val="Yu Gothic"/>
        <family val="3"/>
        <charset val="128"/>
        <scheme val="minor"/>
      </rPr>
      <t>（部位面積あたり）</t>
    </r>
    <rPh sb="9" eb="11">
      <t>ブイ</t>
    </rPh>
    <rPh sb="11" eb="13">
      <t>メンセキ</t>
    </rPh>
    <phoneticPr fontId="1"/>
  </si>
  <si>
    <r>
      <t xml:space="preserve">あり(200)
</t>
    </r>
    <r>
      <rPr>
        <sz val="10"/>
        <color rgb="FFFF0000"/>
        <rFont val="Yu Gothic"/>
        <family val="3"/>
        <charset val="128"/>
        <scheme val="minor"/>
      </rPr>
      <t>（部位面積あたり）</t>
    </r>
    <rPh sb="9" eb="11">
      <t>ブイ</t>
    </rPh>
    <rPh sb="11" eb="13">
      <t>メンセキ</t>
    </rPh>
    <phoneticPr fontId="1"/>
  </si>
  <si>
    <t>垂直積雪量</t>
    <rPh sb="0" eb="5">
      <t>スイチョクセキセツリョウ</t>
    </rPh>
    <phoneticPr fontId="1"/>
  </si>
  <si>
    <r>
      <t>床面積当たりの荷重(N/m</t>
    </r>
    <r>
      <rPr>
        <vertAlign val="superscript"/>
        <sz val="11"/>
        <color theme="1"/>
        <rFont val="Yu Gothic"/>
        <family val="3"/>
        <charset val="128"/>
        <scheme val="minor"/>
      </rPr>
      <t>2</t>
    </r>
    <r>
      <rPr>
        <sz val="11"/>
        <color theme="1"/>
        <rFont val="Yu Gothic"/>
        <family val="2"/>
        <scheme val="minor"/>
      </rPr>
      <t xml:space="preserve">)
</t>
    </r>
    <r>
      <rPr>
        <sz val="10"/>
        <color theme="1"/>
        <rFont val="Yu Gothic"/>
        <family val="3"/>
        <charset val="128"/>
        <scheme val="minor"/>
      </rPr>
      <t>(階高2.8m時の例)</t>
    </r>
    <rPh sb="0" eb="3">
      <t>ユカメンセキ</t>
    </rPh>
    <rPh sb="3" eb="4">
      <t>ア</t>
    </rPh>
    <rPh sb="7" eb="9">
      <t>カジュウ</t>
    </rPh>
    <rPh sb="17" eb="19">
      <t>カイダカ</t>
    </rPh>
    <rPh sb="23" eb="24">
      <t>ジ</t>
    </rPh>
    <rPh sb="25" eb="26">
      <t>レイ</t>
    </rPh>
    <phoneticPr fontId="1"/>
  </si>
  <si>
    <t>屋根勾配（度に変換）</t>
    <rPh sb="0" eb="4">
      <t>ヤネコウバイ</t>
    </rPh>
    <rPh sb="5" eb="6">
      <t>ド</t>
    </rPh>
    <rPh sb="7" eb="9">
      <t>ヘンカン</t>
    </rPh>
    <phoneticPr fontId="1"/>
  </si>
  <si>
    <t>※屋根形状係数を求める場合にお使いください。</t>
    <rPh sb="1" eb="7">
      <t>ヤネケイジョウケイスウ</t>
    </rPh>
    <rPh sb="8" eb="9">
      <t>モト</t>
    </rPh>
    <rPh sb="11" eb="13">
      <t>バアイ</t>
    </rPh>
    <rPh sb="15" eb="16">
      <t>ツカ</t>
    </rPh>
    <phoneticPr fontId="1"/>
  </si>
  <si>
    <t>表計算ツール (多機能版)を公開しました。</t>
    <rPh sb="0" eb="3">
      <t>ヒョウケイサン</t>
    </rPh>
    <rPh sb="8" eb="12">
      <t>タキノウバン</t>
    </rPh>
    <rPh sb="14" eb="16">
      <t>コウカイ</t>
    </rPh>
    <phoneticPr fontId="1"/>
  </si>
  <si>
    <t>サイディング</t>
  </si>
  <si>
    <t>（ここでは、小屋裏面積を含めなくともよい。）</t>
    <rPh sb="6" eb="9">
      <t>コヤウラ</t>
    </rPh>
    <rPh sb="9" eb="11">
      <t>メンセキ</t>
    </rPh>
    <rPh sb="12" eb="13">
      <t>フク</t>
    </rPh>
    <phoneticPr fontId="1"/>
  </si>
  <si>
    <t>(ここでは小屋裏面積を含めなくともよい。）</t>
    <rPh sb="5" eb="8">
      <t>コヤウラ</t>
    </rPh>
    <rPh sb="8" eb="10">
      <t>メンセキ</t>
    </rPh>
    <rPh sb="11" eb="12">
      <t>フク</t>
    </rPh>
    <phoneticPr fontId="1"/>
  </si>
  <si>
    <t>当該階の床面積（ここでは小屋裏面積は含めなくともよい。）</t>
    <phoneticPr fontId="1"/>
  </si>
  <si>
    <t>E95-F315(4層以上)</t>
  </si>
  <si>
    <t>２　柱の小径（令第43条第1項、第6項、平成12建告第1349号第一第2項）</t>
    <rPh sb="2" eb="3">
      <t>ハシラ</t>
    </rPh>
    <rPh sb="4" eb="6">
      <t>ショウケイ</t>
    </rPh>
    <rPh sb="7" eb="8">
      <t>レイ</t>
    </rPh>
    <rPh sb="8" eb="9">
      <t>ダイ</t>
    </rPh>
    <rPh sb="11" eb="12">
      <t>ジョウ</t>
    </rPh>
    <rPh sb="12" eb="13">
      <t>ダイ</t>
    </rPh>
    <rPh sb="14" eb="15">
      <t>コウ</t>
    </rPh>
    <rPh sb="16" eb="17">
      <t>ダイ</t>
    </rPh>
    <rPh sb="18" eb="19">
      <t>コウ</t>
    </rPh>
    <rPh sb="20" eb="22">
      <t>ヘイセイ</t>
    </rPh>
    <rPh sb="24" eb="25">
      <t>ケン</t>
    </rPh>
    <rPh sb="25" eb="26">
      <t>コク</t>
    </rPh>
    <rPh sb="26" eb="27">
      <t>ダイ</t>
    </rPh>
    <rPh sb="31" eb="32">
      <t>ゴウ</t>
    </rPh>
    <rPh sb="32" eb="34">
      <t>ダイイチ</t>
    </rPh>
    <rPh sb="34" eb="35">
      <t>ダイ</t>
    </rPh>
    <rPh sb="36" eb="37">
      <t>コウ</t>
    </rPh>
    <phoneticPr fontId="1"/>
  </si>
  <si>
    <r>
      <t>1階床面積(m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</si>
  <si>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太陽光発電設備等(N/m</t>
    </r>
    <r>
      <rPr>
        <vertAlign val="superscript"/>
        <sz val="11"/>
        <color theme="1"/>
        <rFont val="Yu Gothic"/>
        <family val="3"/>
        <charset val="128"/>
        <scheme val="minor"/>
      </rPr>
      <t>2</t>
    </r>
    <r>
      <rPr>
        <sz val="11"/>
        <color theme="1"/>
        <rFont val="Yu Gothic"/>
        <family val="2"/>
        <scheme val="minor"/>
      </rPr>
      <t>)</t>
    </r>
    <rPh sb="0" eb="3">
      <t>タイヨウコウ</t>
    </rPh>
    <rPh sb="3" eb="5">
      <t>ハツデン</t>
    </rPh>
    <rPh sb="5" eb="7">
      <t>セツビ</t>
    </rPh>
    <rPh sb="7" eb="8">
      <t>トウ</t>
    </rPh>
    <phoneticPr fontId="1"/>
  </si>
  <si>
    <r>
      <t>外壁断熱材(N/m</t>
    </r>
    <r>
      <rPr>
        <vertAlign val="superscript"/>
        <sz val="11"/>
        <color theme="1"/>
        <rFont val="Yu Gothic"/>
        <family val="3"/>
        <charset val="128"/>
        <scheme val="minor"/>
      </rPr>
      <t>2</t>
    </r>
    <r>
      <rPr>
        <sz val="11"/>
        <color theme="1"/>
        <rFont val="Yu Gothic"/>
        <family val="2"/>
        <scheme val="minor"/>
      </rPr>
      <t>)</t>
    </r>
    <rPh sb="0" eb="2">
      <t>ガイヘキ</t>
    </rPh>
    <phoneticPr fontId="1"/>
  </si>
  <si>
    <t>本計算では、軒の出と屋根勾配に応じて、太陽光発電設備等、屋根及び積雪の床面積当たりの荷重を割り増している。</t>
    <rPh sb="0" eb="1">
      <t>ホン</t>
    </rPh>
    <rPh sb="1" eb="3">
      <t>ケイサン</t>
    </rPh>
    <rPh sb="6" eb="7">
      <t>ノキ</t>
    </rPh>
    <rPh sb="8" eb="9">
      <t>デ</t>
    </rPh>
    <rPh sb="10" eb="12">
      <t>ヤネ</t>
    </rPh>
    <rPh sb="12" eb="14">
      <t>コウバイ</t>
    </rPh>
    <rPh sb="15" eb="16">
      <t>オウ</t>
    </rPh>
    <rPh sb="19" eb="22">
      <t>タイヨウコウ</t>
    </rPh>
    <rPh sb="22" eb="26">
      <t>ハツデンセツビ</t>
    </rPh>
    <rPh sb="26" eb="27">
      <t>トウ</t>
    </rPh>
    <rPh sb="28" eb="30">
      <t>ヤネ</t>
    </rPh>
    <rPh sb="30" eb="31">
      <t>オヨ</t>
    </rPh>
    <rPh sb="32" eb="34">
      <t>セキセツ</t>
    </rPh>
    <rPh sb="35" eb="39">
      <t>ユカメンセキア</t>
    </rPh>
    <rPh sb="42" eb="44">
      <t>カジュウ</t>
    </rPh>
    <rPh sb="45" eb="46">
      <t>ワ</t>
    </rPh>
    <rPh sb="47" eb="48">
      <t>マ</t>
    </rPh>
    <phoneticPr fontId="1"/>
  </si>
  <si>
    <t>積雪荷重
(住宅性能表示制度に
おける等級2，3のみ）</t>
    <rPh sb="0" eb="2">
      <t>セキセツ</t>
    </rPh>
    <rPh sb="2" eb="4">
      <t>カジュウ</t>
    </rPh>
    <rPh sb="6" eb="14">
      <t>ジュウタクセイノウヒョウジセイド</t>
    </rPh>
    <rPh sb="19" eb="21">
      <t>トウキュウ</t>
    </rPh>
    <phoneticPr fontId="1"/>
  </si>
  <si>
    <r>
      <t>令第85条。柱の小径の検討では1300N/m</t>
    </r>
    <r>
      <rPr>
        <vertAlign val="superscript"/>
        <sz val="11"/>
        <color theme="1"/>
        <rFont val="Yu Gothic"/>
        <family val="3"/>
        <charset val="128"/>
        <scheme val="minor"/>
      </rPr>
      <t>2</t>
    </r>
    <rPh sb="0" eb="1">
      <t>レイ</t>
    </rPh>
    <rPh sb="1" eb="2">
      <t>ダイ</t>
    </rPh>
    <rPh sb="4" eb="5">
      <t>ジョウ</t>
    </rPh>
    <rPh sb="6" eb="7">
      <t>ハシラ</t>
    </rPh>
    <rPh sb="8" eb="10">
      <t>ショウケイ</t>
    </rPh>
    <rPh sb="11" eb="13">
      <t>ケントウ</t>
    </rPh>
    <phoneticPr fontId="1"/>
  </si>
  <si>
    <r>
      <t>令第85条。柱の小径の検討では1800N/m</t>
    </r>
    <r>
      <rPr>
        <vertAlign val="superscript"/>
        <sz val="11"/>
        <color theme="1"/>
        <rFont val="Yu Gothic"/>
        <family val="3"/>
        <charset val="128"/>
        <scheme val="minor"/>
      </rPr>
      <t>2</t>
    </r>
    <rPh sb="0" eb="1">
      <t>レイ</t>
    </rPh>
    <rPh sb="1" eb="2">
      <t>ダイ</t>
    </rPh>
    <rPh sb="4" eb="5">
      <t>ジョウ</t>
    </rPh>
    <rPh sb="6" eb="7">
      <t>ハシラ</t>
    </rPh>
    <rPh sb="8" eb="10">
      <t>ショウケイ</t>
    </rPh>
    <rPh sb="11" eb="13">
      <t>ケントウ</t>
    </rPh>
    <phoneticPr fontId="1"/>
  </si>
  <si>
    <r>
      <t>1.　単位面積当たりの必要壁量</t>
    </r>
    <r>
      <rPr>
        <i/>
        <sz val="12"/>
        <color theme="1"/>
        <rFont val="HG丸ｺﾞｼｯｸM-PRO"/>
        <family val="3"/>
        <charset val="128"/>
      </rPr>
      <t>L</t>
    </r>
    <r>
      <rPr>
        <vertAlign val="subscript"/>
        <sz val="12"/>
        <color theme="1"/>
        <rFont val="HG丸ｺﾞｼｯｸM-PRO"/>
        <family val="3"/>
        <charset val="128"/>
      </rPr>
      <t>w</t>
    </r>
    <r>
      <rPr>
        <sz val="12"/>
        <color theme="1"/>
        <rFont val="HG丸ｺﾞｼｯｸM-PRO"/>
        <family val="3"/>
        <charset val="128"/>
      </rPr>
      <t>(単位 cm／m</t>
    </r>
    <r>
      <rPr>
        <vertAlign val="superscript"/>
        <sz val="12"/>
        <color theme="1"/>
        <rFont val="HG丸ｺﾞｼｯｸM-PRO"/>
        <family val="3"/>
        <charset val="128"/>
      </rPr>
      <t>2</t>
    </r>
    <r>
      <rPr>
        <sz val="12"/>
        <color theme="1"/>
        <rFont val="HG丸ｺﾞｼｯｸM-PRO"/>
        <family val="3"/>
        <charset val="128"/>
      </rPr>
      <t>)</t>
    </r>
    <rPh sb="3" eb="5">
      <t>タンイ</t>
    </rPh>
    <rPh sb="5" eb="7">
      <t>メンセキ</t>
    </rPh>
    <rPh sb="7" eb="8">
      <t>ア</t>
    </rPh>
    <rPh sb="11" eb="13">
      <t>ヒツヨウ</t>
    </rPh>
    <rPh sb="13" eb="14">
      <t>ヘキ</t>
    </rPh>
    <rPh sb="14" eb="15">
      <t>リョウ</t>
    </rPh>
    <rPh sb="18" eb="20">
      <t>タンイ</t>
    </rPh>
    <phoneticPr fontId="1"/>
  </si>
  <si>
    <r>
      <t>　垂直積雪量dの算定は、平13告国告第1347号第5の1-1(3)ホ①より
下記(１)～(４)の値とする</t>
    </r>
    <r>
      <rPr>
        <b/>
        <sz val="10"/>
        <color theme="1"/>
        <rFont val="Yu Gothic"/>
        <family val="3"/>
        <charset val="128"/>
        <scheme val="minor"/>
      </rPr>
      <t>（準備計算が必要）</t>
    </r>
    <r>
      <rPr>
        <sz val="10"/>
        <color theme="1"/>
        <rFont val="Yu Gothic"/>
        <family val="3"/>
        <charset val="128"/>
        <scheme val="minor"/>
      </rPr>
      <t>。
(１)　屋根に雪止めがなく、かつ、その勾配が20度以下の場合
　ここで、　</t>
    </r>
    <r>
      <rPr>
        <i/>
        <sz val="10"/>
        <color theme="1"/>
        <rFont val="Yu Gothic"/>
        <family val="3"/>
        <charset val="128"/>
        <scheme val="minor"/>
      </rPr>
      <t>d</t>
    </r>
    <r>
      <rPr>
        <vertAlign val="subscript"/>
        <sz val="10"/>
        <color theme="1"/>
        <rFont val="Yu Gothic"/>
        <family val="3"/>
        <charset val="128"/>
        <scheme val="minor"/>
      </rPr>
      <t>0</t>
    </r>
    <r>
      <rPr>
        <sz val="10"/>
        <color theme="1"/>
        <rFont val="Yu Gothic"/>
        <family val="3"/>
        <charset val="128"/>
        <scheme val="minor"/>
      </rPr>
      <t>：区域における垂直積雪量(cm)
(２)　屋根に雪止めがなく、かつ、その勾配が20度を超える場合
　又は雪下ろしを行う慣習のある地方の場合 
　ここで、μb：屋根形状係数
　　　　 　β：屋根勾配（度）　　
(３)　屋根に雪止めがなく、かつ、その勾配が60度を超える場合
　ゼロとすることができる。
(４)　雪下ろしを行う慣習のある地方の場合
　垂直積雪量dが1mを超える場合においても、垂直積雪量を1mまで減らして計算することができる。</t>
    </r>
    <rPh sb="1" eb="6">
      <t>スイチョクセキセツリョウ</t>
    </rPh>
    <rPh sb="38" eb="40">
      <t>カキ</t>
    </rPh>
    <rPh sb="48" eb="49">
      <t>アタイ</t>
    </rPh>
    <rPh sb="53" eb="57">
      <t>ジュンビケイサン</t>
    </rPh>
    <rPh sb="58" eb="60">
      <t>ヒツヨウ</t>
    </rPh>
    <rPh sb="88" eb="90">
      <t>イカ</t>
    </rPh>
    <rPh sb="148" eb="149">
      <t>ド</t>
    </rPh>
    <rPh sb="153" eb="155">
      <t>バアイ</t>
    </rPh>
    <rPh sb="247" eb="248">
      <t>ド</t>
    </rPh>
    <rPh sb="249" eb="250">
      <t>コ</t>
    </rPh>
    <rPh sb="252" eb="254">
      <t>バアイ</t>
    </rPh>
    <rPh sb="274" eb="276">
      <t>ユキオ</t>
    </rPh>
    <rPh sb="279" eb="280">
      <t>オコナ</t>
    </rPh>
    <rPh sb="281" eb="283">
      <t>カンシュウ</t>
    </rPh>
    <rPh sb="286" eb="288">
      <t>チホウ</t>
    </rPh>
    <rPh sb="289" eb="291">
      <t>バアイ</t>
    </rPh>
    <rPh sb="293" eb="298">
      <t>スイチョクセキセツリョウ</t>
    </rPh>
    <rPh sb="303" eb="304">
      <t>コ</t>
    </rPh>
    <rPh sb="306" eb="308">
      <t>バアイ</t>
    </rPh>
    <rPh sb="314" eb="319">
      <t>スイチョクセキセツリョウ</t>
    </rPh>
    <rPh sb="324" eb="325">
      <t>ヘ</t>
    </rPh>
    <rPh sb="328" eb="330">
      <t>ケイサン</t>
    </rPh>
    <phoneticPr fontId="1"/>
  </si>
  <si>
    <t>←国交省建築指導課の指示で含めなくとも良いとした</t>
    <rPh sb="1" eb="4">
      <t>コッコウショウ</t>
    </rPh>
    <rPh sb="4" eb="6">
      <t>ケンチク</t>
    </rPh>
    <rPh sb="6" eb="9">
      <t>シドウカ</t>
    </rPh>
    <rPh sb="10" eb="12">
      <t>シジ</t>
    </rPh>
    <rPh sb="13" eb="14">
      <t>フク</t>
    </rPh>
    <rPh sb="19" eb="20">
      <t>ヨ</t>
    </rPh>
    <phoneticPr fontId="1"/>
  </si>
  <si>
    <t>ver</t>
    <phoneticPr fontId="1"/>
  </si>
  <si>
    <r>
      <t>１．単位面積当たりの必要壁量</t>
    </r>
    <r>
      <rPr>
        <i/>
        <sz val="11"/>
        <color theme="1"/>
        <rFont val="ＭＳ ゴシック"/>
        <family val="3"/>
        <charset val="128"/>
      </rPr>
      <t>L</t>
    </r>
    <r>
      <rPr>
        <sz val="11"/>
        <color theme="1"/>
        <rFont val="ＭＳ ゴシック"/>
        <family val="3"/>
        <charset val="128"/>
      </rPr>
      <t>wの算出方法</t>
    </r>
    <rPh sb="17" eb="21">
      <t>サンシュツホウホウ</t>
    </rPh>
    <phoneticPr fontId="1"/>
  </si>
  <si>
    <r>
      <t>1－1　単位面積当たりの必要壁量</t>
    </r>
    <r>
      <rPr>
        <i/>
        <sz val="11"/>
        <color theme="1"/>
        <rFont val="ＭＳ ゴシック"/>
        <family val="3"/>
        <charset val="128"/>
      </rPr>
      <t>L</t>
    </r>
    <r>
      <rPr>
        <sz val="11"/>
        <color theme="1"/>
        <rFont val="ＭＳ ゴシック"/>
        <family val="3"/>
        <charset val="128"/>
      </rPr>
      <t>wの算定式</t>
    </r>
    <rPh sb="19" eb="22">
      <t>サンテイシキ</t>
    </rPh>
    <phoneticPr fontId="1"/>
  </si>
  <si>
    <r>
      <t>単位面積当たりの必要壁量</t>
    </r>
    <r>
      <rPr>
        <i/>
        <sz val="11"/>
        <color theme="1"/>
        <rFont val="Yu Gothic"/>
        <family val="3"/>
        <charset val="128"/>
        <scheme val="minor"/>
      </rPr>
      <t>L</t>
    </r>
    <r>
      <rPr>
        <vertAlign val="subscript"/>
        <sz val="11"/>
        <color theme="1"/>
        <rFont val="Yu Gothic"/>
        <family val="3"/>
        <charset val="128"/>
        <scheme val="minor"/>
      </rPr>
      <t>w</t>
    </r>
    <r>
      <rPr>
        <sz val="11"/>
        <color theme="1"/>
        <rFont val="Yu Gothic"/>
        <family val="3"/>
        <charset val="128"/>
        <scheme val="minor"/>
      </rPr>
      <t>は階ごとに</t>
    </r>
    <r>
      <rPr>
        <sz val="11"/>
        <color theme="1"/>
        <rFont val="Yu Gothic"/>
        <family val="2"/>
        <scheme val="minor"/>
      </rPr>
      <t>下式のとおり算出している。</t>
    </r>
    <rPh sb="0" eb="2">
      <t>タンイ</t>
    </rPh>
    <rPh sb="2" eb="4">
      <t>メンセキ</t>
    </rPh>
    <rPh sb="4" eb="5">
      <t>ア</t>
    </rPh>
    <rPh sb="8" eb="10">
      <t>ヒツヨウ</t>
    </rPh>
    <rPh sb="10" eb="12">
      <t>カベリョウ</t>
    </rPh>
    <rPh sb="15" eb="16">
      <t>カイ</t>
    </rPh>
    <rPh sb="19" eb="20">
      <t>シタ</t>
    </rPh>
    <rPh sb="20" eb="21">
      <t>シキ</t>
    </rPh>
    <rPh sb="25" eb="27">
      <t>サンシュツ</t>
    </rPh>
    <phoneticPr fontId="1"/>
  </si>
  <si>
    <r>
      <t>　当該階の単位床面積当たりの必要壁量</t>
    </r>
    <r>
      <rPr>
        <i/>
        <sz val="11"/>
        <color theme="1"/>
        <rFont val="Yu Gothic"/>
        <family val="3"/>
        <charset val="128"/>
        <scheme val="minor"/>
      </rPr>
      <t>L</t>
    </r>
    <r>
      <rPr>
        <vertAlign val="subscript"/>
        <sz val="11"/>
        <color theme="1"/>
        <rFont val="Yu Gothic"/>
        <family val="3"/>
        <charset val="128"/>
        <scheme val="minor"/>
      </rPr>
      <t>w</t>
    </r>
    <r>
      <rPr>
        <sz val="11"/>
        <color theme="1"/>
        <rFont val="Yu Gothic"/>
        <family val="3"/>
        <charset val="128"/>
        <scheme val="minor"/>
      </rPr>
      <t>（ｃｍ/m</t>
    </r>
    <r>
      <rPr>
        <vertAlign val="superscript"/>
        <sz val="11"/>
        <color theme="1"/>
        <rFont val="Yu Gothic"/>
        <family val="3"/>
        <charset val="128"/>
        <scheme val="minor"/>
      </rPr>
      <t>2</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t>
    </r>
    <r>
      <rPr>
        <i/>
        <sz val="11"/>
        <color theme="1"/>
        <rFont val="Yu Gothic"/>
        <family val="3"/>
        <charset val="128"/>
        <scheme val="minor"/>
      </rPr>
      <t>C</t>
    </r>
    <r>
      <rPr>
        <vertAlign val="subscript"/>
        <sz val="11"/>
        <color theme="1"/>
        <rFont val="Yu Gothic"/>
        <family val="3"/>
        <charset val="128"/>
        <scheme val="minor"/>
      </rPr>
      <t>0</t>
    </r>
    <r>
      <rPr>
        <sz val="11"/>
        <color theme="1"/>
        <rFont val="Yu Gothic"/>
        <family val="3"/>
        <charset val="128"/>
        <scheme val="minor"/>
      </rP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3"/>
        <charset val="128"/>
        <scheme val="minor"/>
      </rPr>
      <t>）/（0.0196・</t>
    </r>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3"/>
        <charset val="128"/>
        <scheme val="minor"/>
      </rPr>
      <t>）</t>
    </r>
    <rPh sb="1" eb="4">
      <t>トウガイカイ</t>
    </rPh>
    <rPh sb="5" eb="10">
      <t>タンイユカメンセキ</t>
    </rPh>
    <rPh sb="10" eb="11">
      <t>ア</t>
    </rPh>
    <rPh sb="14" eb="18">
      <t>ヒツヨウヘキリョウ</t>
    </rPh>
    <rPh sb="20" eb="21">
      <t>スウチ</t>
    </rPh>
    <phoneticPr fontId="1"/>
  </si>
  <si>
    <r>
      <t>　等級２：当該階の単位床面積当たりの必要壁量</t>
    </r>
    <r>
      <rPr>
        <i/>
        <sz val="11"/>
        <color theme="1"/>
        <rFont val="Yu Gothic"/>
        <family val="3"/>
        <charset val="128"/>
        <scheme val="minor"/>
      </rPr>
      <t>L</t>
    </r>
    <r>
      <rPr>
        <sz val="11"/>
        <color theme="1"/>
        <rFont val="Yu Gothic"/>
        <family val="3"/>
        <charset val="128"/>
        <scheme val="minor"/>
      </rPr>
      <t>w（ｃｍ/m</t>
    </r>
    <r>
      <rPr>
        <vertAlign val="superscript"/>
        <sz val="11"/>
        <color theme="1"/>
        <rFont val="Yu Gothic"/>
        <family val="3"/>
        <charset val="128"/>
        <scheme val="minor"/>
      </rPr>
      <t>2</t>
    </r>
    <r>
      <rPr>
        <sz val="11"/>
        <color theme="1"/>
        <rFont val="Yu Gothic"/>
        <family val="3"/>
        <charset val="128"/>
        <scheme val="minor"/>
      </rPr>
      <t>）＝（Z・</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t>
    </r>
    <r>
      <rPr>
        <i/>
        <sz val="11"/>
        <color theme="1"/>
        <rFont val="Yu Gothic"/>
        <family val="3"/>
        <charset val="128"/>
        <scheme val="minor"/>
      </rPr>
      <t>C</t>
    </r>
    <r>
      <rPr>
        <vertAlign val="subscript"/>
        <sz val="11"/>
        <color theme="1"/>
        <rFont val="Yu Gothic"/>
        <family val="3"/>
        <charset val="128"/>
        <scheme val="minor"/>
      </rPr>
      <t>0</t>
    </r>
    <r>
      <rPr>
        <sz val="11"/>
        <color theme="1"/>
        <rFont val="Yu Gothic"/>
        <family val="3"/>
        <charset val="128"/>
        <scheme val="minor"/>
      </rP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3"/>
        <charset val="128"/>
        <scheme val="minor"/>
      </rPr>
      <t>）/（0.0196・</t>
    </r>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3"/>
        <charset val="128"/>
        <scheme val="minor"/>
      </rPr>
      <t>）×1.25</t>
    </r>
    <rPh sb="1" eb="3">
      <t>トウキュウ</t>
    </rPh>
    <rPh sb="5" eb="7">
      <t>トウガイ</t>
    </rPh>
    <rPh sb="7" eb="8">
      <t>カイ</t>
    </rPh>
    <rPh sb="9" eb="11">
      <t>タンイ</t>
    </rPh>
    <rPh sb="11" eb="14">
      <t>ユカメンセキ</t>
    </rPh>
    <rPh sb="14" eb="15">
      <t>ア</t>
    </rPh>
    <rPh sb="18" eb="20">
      <t>ヒツヨウ</t>
    </rPh>
    <rPh sb="20" eb="22">
      <t>カベリョウ</t>
    </rPh>
    <phoneticPr fontId="1"/>
  </si>
  <si>
    <r>
      <t>　等級３：当該階の単位床面積当たりの必要壁量</t>
    </r>
    <r>
      <rPr>
        <i/>
        <sz val="11"/>
        <color theme="1"/>
        <rFont val="Yu Gothic"/>
        <family val="3"/>
        <charset val="128"/>
        <scheme val="minor"/>
      </rPr>
      <t>L</t>
    </r>
    <r>
      <rPr>
        <sz val="11"/>
        <color theme="1"/>
        <rFont val="Yu Gothic"/>
        <family val="3"/>
        <charset val="128"/>
        <scheme val="minor"/>
      </rPr>
      <t>w（ｃｍ/m</t>
    </r>
    <r>
      <rPr>
        <vertAlign val="superscript"/>
        <sz val="11"/>
        <color theme="1"/>
        <rFont val="Yu Gothic"/>
        <family val="3"/>
        <charset val="128"/>
        <scheme val="minor"/>
      </rPr>
      <t>2</t>
    </r>
    <r>
      <rPr>
        <sz val="11"/>
        <color theme="1"/>
        <rFont val="Yu Gothic"/>
        <family val="3"/>
        <charset val="128"/>
        <scheme val="minor"/>
      </rPr>
      <t>）＝（Z・</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t>
    </r>
    <r>
      <rPr>
        <i/>
        <sz val="11"/>
        <color theme="1"/>
        <rFont val="Yu Gothic"/>
        <family val="3"/>
        <charset val="128"/>
        <scheme val="minor"/>
      </rPr>
      <t>C</t>
    </r>
    <r>
      <rPr>
        <vertAlign val="subscript"/>
        <sz val="11"/>
        <color theme="1"/>
        <rFont val="Yu Gothic"/>
        <family val="3"/>
        <charset val="128"/>
        <scheme val="minor"/>
      </rPr>
      <t>0</t>
    </r>
    <r>
      <rPr>
        <sz val="11"/>
        <color theme="1"/>
        <rFont val="Yu Gothic"/>
        <family val="3"/>
        <charset val="128"/>
        <scheme val="minor"/>
      </rP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3"/>
        <charset val="128"/>
        <scheme val="minor"/>
      </rPr>
      <t>）/（0.0196・</t>
    </r>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3"/>
        <charset val="128"/>
        <scheme val="minor"/>
      </rPr>
      <t>）×1.５</t>
    </r>
    <rPh sb="1" eb="3">
      <t>トウキュウ</t>
    </rPh>
    <rPh sb="5" eb="7">
      <t>トウガイ</t>
    </rPh>
    <rPh sb="7" eb="8">
      <t>カイ</t>
    </rPh>
    <rPh sb="9" eb="11">
      <t>タンイ</t>
    </rPh>
    <rPh sb="11" eb="14">
      <t>ユカメンセキ</t>
    </rPh>
    <rPh sb="14" eb="15">
      <t>ア</t>
    </rPh>
    <rPh sb="18" eb="20">
      <t>ヒツヨウ</t>
    </rPh>
    <rPh sb="20" eb="22">
      <t>カベリョウ</t>
    </rPh>
    <phoneticPr fontId="1"/>
  </si>
  <si>
    <t>住宅性能表示制度における等級2，3では単位面積当たりの必要壁量を求める際に積雪荷重を考慮する。本ツールでは垂直積雪量1ｍ未満、2ｍ超えの場合であっても算定結果が出力可能である。</t>
    <rPh sb="0" eb="2">
      <t>ジュウタク</t>
    </rPh>
    <rPh sb="2" eb="4">
      <t>セイノウ</t>
    </rPh>
    <rPh sb="4" eb="6">
      <t>ヒョウジ</t>
    </rPh>
    <rPh sb="6" eb="8">
      <t>セイド</t>
    </rPh>
    <rPh sb="12" eb="14">
      <t>トウキュウ</t>
    </rPh>
    <rPh sb="19" eb="21">
      <t>タンイ</t>
    </rPh>
    <rPh sb="21" eb="23">
      <t>メンセキ</t>
    </rPh>
    <rPh sb="23" eb="24">
      <t>ア</t>
    </rPh>
    <rPh sb="27" eb="31">
      <t>ヒツヨウヘキリョウ</t>
    </rPh>
    <rPh sb="32" eb="33">
      <t>モト</t>
    </rPh>
    <rPh sb="35" eb="36">
      <t>サイ</t>
    </rPh>
    <rPh sb="37" eb="39">
      <t>セキセツ</t>
    </rPh>
    <rPh sb="39" eb="41">
      <t>カジュウ</t>
    </rPh>
    <rPh sb="42" eb="44">
      <t>コウリョ</t>
    </rPh>
    <rPh sb="47" eb="48">
      <t>ホン</t>
    </rPh>
    <rPh sb="53" eb="55">
      <t>スイチョク</t>
    </rPh>
    <rPh sb="55" eb="57">
      <t>セキセツ</t>
    </rPh>
    <rPh sb="57" eb="58">
      <t>リョウ</t>
    </rPh>
    <rPh sb="60" eb="62">
      <t>ミマン</t>
    </rPh>
    <rPh sb="65" eb="66">
      <t>コ</t>
    </rPh>
    <rPh sb="68" eb="70">
      <t>バアイ</t>
    </rPh>
    <rPh sb="75" eb="77">
      <t>サンテイ</t>
    </rPh>
    <rPh sb="77" eb="79">
      <t>ケッカ</t>
    </rPh>
    <rPh sb="80" eb="82">
      <t>シュツリョク</t>
    </rPh>
    <rPh sb="82" eb="84">
      <t>カノウ</t>
    </rPh>
    <phoneticPr fontId="1"/>
  </si>
  <si>
    <t>・住宅性能表示制度の評価基準には柱の小径の項目が存在しないため、積雪荷重は考慮していない。</t>
    <rPh sb="1" eb="7">
      <t>ジュウタクセイノウヒョウジ</t>
    </rPh>
    <rPh sb="7" eb="9">
      <t>セイド</t>
    </rPh>
    <rPh sb="10" eb="14">
      <t>ヒョウカキジュン</t>
    </rPh>
    <rPh sb="16" eb="17">
      <t>ハシラ</t>
    </rPh>
    <rPh sb="18" eb="20">
      <t>ショウケイ</t>
    </rPh>
    <rPh sb="21" eb="23">
      <t>コウモク</t>
    </rPh>
    <rPh sb="24" eb="26">
      <t>ソンザイ</t>
    </rPh>
    <rPh sb="32" eb="36">
      <t>セキセツカジュウ</t>
    </rPh>
    <rPh sb="37" eb="39">
      <t>コウリョ</t>
    </rPh>
    <phoneticPr fontId="1"/>
  </si>
  <si>
    <r>
      <t>　当センターHPで公開しているもうひとつの表計算ツール(在来軸組工法用)は、在来軸組工法における一般的な住宅を想定し、建築基準法施行令（以下「令」という、）第46条第4項及び昭和56年建設省告示（以下告示については「昭56建告」のように略称）第1100号第三における単位床面積当たりの必要壁量並びに令第43条第1項、第6項及び平12建告第1349号第一第2項における柱の小径等の計算方法である。
　本表計算ツール（多機能版）では上記に加えて下記の機能を追加している。
　　①「在来軸組工法用」の機能を拡張し、屋根勾配と軒の出、及び屋根断熱材を設定することができる。
　　②住宅性能表示制度に対応して単位床面積当たりの必要壁量の「等級2」、「等級3」を算出することができる。
　　③建物の用途を「事務所」に変更することで事務所の積載荷重に対応した単位床面積当たりの必要壁量及び柱の小径等を
　　　算出することができる。
　算出根拠を下記の算出根拠から外れるものは設計者判断等により、必要に応じて根拠を示した上で、適宜調整</t>
    </r>
    <r>
      <rPr>
        <vertAlign val="superscript"/>
        <sz val="11"/>
        <color theme="1"/>
        <rFont val="Yu Gothic"/>
        <family val="3"/>
        <charset val="128"/>
        <scheme val="minor"/>
      </rPr>
      <t>※</t>
    </r>
    <r>
      <rPr>
        <sz val="11"/>
        <color theme="1"/>
        <rFont val="Yu Gothic"/>
        <family val="3"/>
        <charset val="128"/>
        <scheme val="minor"/>
      </rPr>
      <t>を行うこととする。また、設計者判断等により想定する固定荷重や建築物高さ等のパラメータを実態に応じて個別に計算する場合には、必ずしも当該表計算ツールの算定方法や算出根拠に準じなくても良い。</t>
    </r>
    <rPh sb="1" eb="2">
      <t>トウ</t>
    </rPh>
    <rPh sb="9" eb="11">
      <t>コウカイ</t>
    </rPh>
    <rPh sb="21" eb="24">
      <t>ヒョウケイサン</t>
    </rPh>
    <rPh sb="28" eb="30">
      <t>ザイライ</t>
    </rPh>
    <rPh sb="30" eb="34">
      <t>ジクグミコウホウ</t>
    </rPh>
    <rPh sb="34" eb="35">
      <t>ヨウ</t>
    </rPh>
    <rPh sb="59" eb="64">
      <t>ケンチクキジュンホウ</t>
    </rPh>
    <rPh sb="64" eb="67">
      <t>セコウレイ</t>
    </rPh>
    <rPh sb="68" eb="70">
      <t>イカ</t>
    </rPh>
    <rPh sb="71" eb="72">
      <t>レイ</t>
    </rPh>
    <rPh sb="133" eb="135">
      <t>タンイ</t>
    </rPh>
    <rPh sb="135" eb="138">
      <t>ユカメンセキ</t>
    </rPh>
    <rPh sb="138" eb="139">
      <t>ア</t>
    </rPh>
    <rPh sb="142" eb="146">
      <t>ヒツヨウヘキリョウ</t>
    </rPh>
    <rPh sb="199" eb="200">
      <t>ホン</t>
    </rPh>
    <rPh sb="200" eb="203">
      <t>ヒョウケイサン</t>
    </rPh>
    <rPh sb="207" eb="211">
      <t>タキノウバン</t>
    </rPh>
    <rPh sb="214" eb="216">
      <t>ジョウキ</t>
    </rPh>
    <rPh sb="217" eb="218">
      <t>クワ</t>
    </rPh>
    <rPh sb="220" eb="222">
      <t>カキ</t>
    </rPh>
    <rPh sb="223" eb="225">
      <t>キノウ</t>
    </rPh>
    <rPh sb="226" eb="228">
      <t>ツイカ</t>
    </rPh>
    <rPh sb="238" eb="240">
      <t>ザイライ</t>
    </rPh>
    <rPh sb="242" eb="243">
      <t>コウ</t>
    </rPh>
    <rPh sb="247" eb="249">
      <t>キノウ</t>
    </rPh>
    <rPh sb="250" eb="252">
      <t>カクチョウ</t>
    </rPh>
    <rPh sb="254" eb="258">
      <t>ヤネコウバイ</t>
    </rPh>
    <rPh sb="259" eb="260">
      <t>ノキ</t>
    </rPh>
    <rPh sb="261" eb="262">
      <t>デ</t>
    </rPh>
    <rPh sb="263" eb="264">
      <t>オヨ</t>
    </rPh>
    <rPh sb="265" eb="267">
      <t>ヤネ</t>
    </rPh>
    <rPh sb="267" eb="270">
      <t>ダンネツザイ</t>
    </rPh>
    <rPh sb="271" eb="273">
      <t>セッテイ</t>
    </rPh>
    <rPh sb="299" eb="301">
      <t>タンイ</t>
    </rPh>
    <rPh sb="301" eb="304">
      <t>ユカメンセキ</t>
    </rPh>
    <rPh sb="304" eb="305">
      <t>ア</t>
    </rPh>
    <rPh sb="308" eb="310">
      <t>ヒツヨウ</t>
    </rPh>
    <rPh sb="310" eb="312">
      <t>ヘキリョウ</t>
    </rPh>
    <rPh sb="314" eb="316">
      <t>トウキュウ</t>
    </rPh>
    <rPh sb="320" eb="322">
      <t>トウキュウ</t>
    </rPh>
    <rPh sb="325" eb="327">
      <t>サンシュツ</t>
    </rPh>
    <rPh sb="347" eb="350">
      <t>ジムショ</t>
    </rPh>
    <rPh sb="352" eb="354">
      <t>ヘンコウ</t>
    </rPh>
    <rPh sb="359" eb="362">
      <t>ジムショ</t>
    </rPh>
    <rPh sb="363" eb="365">
      <t>セキサイ</t>
    </rPh>
    <rPh sb="365" eb="367">
      <t>カジュウ</t>
    </rPh>
    <rPh sb="368" eb="370">
      <t>タイオウ</t>
    </rPh>
    <rPh sb="372" eb="374">
      <t>タンイ</t>
    </rPh>
    <rPh sb="374" eb="377">
      <t>ユカメンセキ</t>
    </rPh>
    <rPh sb="377" eb="378">
      <t>ア</t>
    </rPh>
    <rPh sb="381" eb="385">
      <t>ヒツヨウヘキリョウ</t>
    </rPh>
    <rPh sb="385" eb="386">
      <t>オヨ</t>
    </rPh>
    <rPh sb="387" eb="388">
      <t>ハシラ</t>
    </rPh>
    <rPh sb="389" eb="391">
      <t>ショウケイ</t>
    </rPh>
    <rPh sb="391" eb="392">
      <t>トウ</t>
    </rPh>
    <rPh sb="397" eb="399">
      <t>サンシュツ</t>
    </rPh>
    <rPh sb="410" eb="412">
      <t>サンシュツ</t>
    </rPh>
    <rPh sb="412" eb="414">
      <t>コンキョ</t>
    </rPh>
    <phoneticPr fontId="1"/>
  </si>
  <si>
    <r>
      <t>・解説・注意事項における「在来軸組工法用」と「在来軸組構法用」という用語を「在来軸組工法用」に統一しました。
・「表計算ツール（平屋建て）」の2-3の算定式における横架材間距離</t>
    </r>
    <r>
      <rPr>
        <i/>
        <sz val="11"/>
        <color theme="1"/>
        <rFont val="Yu Gothic"/>
        <family val="3"/>
        <charset val="128"/>
        <scheme val="minor"/>
      </rPr>
      <t>l</t>
    </r>
    <r>
      <rPr>
        <sz val="11"/>
        <color theme="1"/>
        <rFont val="Yu Gothic"/>
        <family val="2"/>
        <scheme val="minor"/>
      </rPr>
      <t>について「階高―120」から「階高-105」に修正しました。</t>
    </r>
    <rPh sb="1" eb="3">
      <t>カイセツ</t>
    </rPh>
    <rPh sb="4" eb="8">
      <t>チュウイジコウ</t>
    </rPh>
    <rPh sb="23" eb="25">
      <t>ザイライ</t>
    </rPh>
    <rPh sb="25" eb="27">
      <t>ジクグミ</t>
    </rPh>
    <rPh sb="27" eb="28">
      <t>カマ</t>
    </rPh>
    <rPh sb="28" eb="29">
      <t>ホウ</t>
    </rPh>
    <rPh sb="29" eb="30">
      <t>ヨウ</t>
    </rPh>
    <rPh sb="34" eb="36">
      <t>ヨウゴ</t>
    </rPh>
    <rPh sb="38" eb="41">
      <t>ザイ</t>
    </rPh>
    <rPh sb="41" eb="42">
      <t>クミ</t>
    </rPh>
    <rPh sb="42" eb="44">
      <t>コウホウ</t>
    </rPh>
    <rPh sb="44" eb="45">
      <t>ヨウ</t>
    </rPh>
    <rPh sb="47" eb="49">
      <t>トウイツ</t>
    </rPh>
    <rPh sb="57" eb="60">
      <t>ヒョウケイサン</t>
    </rPh>
    <rPh sb="64" eb="67">
      <t>ヒラヤダ</t>
    </rPh>
    <rPh sb="75" eb="77">
      <t>サンテイ</t>
    </rPh>
    <rPh sb="77" eb="78">
      <t>シキ</t>
    </rPh>
    <rPh sb="82" eb="86">
      <t>オウカザイカン</t>
    </rPh>
    <rPh sb="86" eb="88">
      <t>キョリ</t>
    </rPh>
    <rPh sb="94" eb="96">
      <t>カイダカ</t>
    </rPh>
    <rPh sb="104" eb="106">
      <t>カイダカ</t>
    </rPh>
    <rPh sb="112" eb="114">
      <t>シュウセイ</t>
    </rPh>
    <phoneticPr fontId="1"/>
  </si>
  <si>
    <t>ver1.2</t>
    <phoneticPr fontId="1"/>
  </si>
  <si>
    <t>・垂直積雪量に乗じる屋根面積を屋根勾配に応じた面積から、水平投影面積に変更しました。</t>
    <rPh sb="1" eb="7">
      <t>スイチョクセ</t>
    </rPh>
    <rPh sb="7" eb="8">
      <t>ジョウ</t>
    </rPh>
    <rPh sb="10" eb="14">
      <t>ヤネメンセキ</t>
    </rPh>
    <rPh sb="15" eb="19">
      <t>ヤネコウバイ</t>
    </rPh>
    <rPh sb="20" eb="21">
      <t>オウ</t>
    </rPh>
    <rPh sb="23" eb="25">
      <t>メンセキ</t>
    </rPh>
    <rPh sb="28" eb="34">
      <t>スイヘイトウエイメンセキ</t>
    </rPh>
    <rPh sb="35" eb="37">
      <t>ヘンコウ</t>
    </rPh>
    <phoneticPr fontId="1"/>
  </si>
  <si>
    <t>【単位面積当たりの必要壁量】</t>
    <rPh sb="1" eb="3">
      <t>タンイ</t>
    </rPh>
    <rPh sb="3" eb="6">
      <t>メンセキア</t>
    </rPh>
    <rPh sb="9" eb="13">
      <t>ヒツヨウヘキリョウ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</si>
</sst>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0_ "/>
    <numFmt numFmtId="178" formatCode="0.0_ "/>
    <numFmt numFmtId="179" formatCode="0.000_);[Red]\(0.000\)"/>
    <numFmt numFmtId="180" formatCode="0_);[Red]\(0\)"/>
    <numFmt numFmtId="181" formatCode="0_ "/>
    <numFmt numFmtId="182" formatCode="#\ ???/???"/>
    <numFmt numFmtId="183" formatCode="0.0&quot;度&quot;"/>
    <numFmt numFmtId="184" formatCode="0.0_);[Red]\(0.0\)"/>
  </numFmts>
  <fonts count="65">
    <font>
      <sz val="11"/>
      <color theme="1"/>
      <name val="Yu Gothic"/>
      <family val="2"/>
      <scheme val="minor"/>
    </font>
    <font>
      <sz val="6"/>
      <name val="Yu Gothic"/>
      <family val="3"/>
      <charset val="128"/>
      <scheme val="minor"/>
    </font>
    <font>
      <sz val="11"/>
      <color rgb="FFFF0000"/>
      <name val="Yu Gothic"/>
      <family val="2"/>
      <scheme val="minor"/>
    </font>
    <font>
      <sz val="11"/>
      <color rgb="FFFF0000"/>
      <name val="Yu Gothic"/>
      <family val="3"/>
      <charset val="128"/>
      <scheme val="minor"/>
    </font>
    <font>
      <sz val="22"/>
      <color theme="1"/>
      <name val="HG丸ｺﾞｼｯｸM-PRO"/>
      <family val="3"/>
      <charset val="128"/>
    </font>
    <font>
      <vertAlign val="superscript"/>
      <sz val="11"/>
      <color theme="1"/>
      <name val="Yu Gothic"/>
      <family val="3"/>
      <charset val="128"/>
      <scheme val="minor"/>
    </font>
    <font>
      <sz val="11"/>
      <color theme="1"/>
      <name val="Yu Gothic"/>
      <family val="3"/>
      <charset val="128"/>
      <scheme val="minor"/>
    </font>
    <font>
      <b/>
      <sz val="11"/>
      <color theme="1"/>
      <name val="Yu Gothic"/>
      <family val="3"/>
      <charset val="128"/>
      <scheme val="minor"/>
    </font>
    <font>
      <sz val="12"/>
      <color rgb="FFFF0000"/>
      <name val="Yu Gothic"/>
      <family val="3"/>
      <charset val="128"/>
      <scheme val="minor"/>
    </font>
    <font>
      <sz val="9"/>
      <color theme="1"/>
      <name val="Yu Gothic"/>
      <family val="3"/>
      <charset val="128"/>
      <scheme val="minor"/>
    </font>
    <font>
      <sz val="12"/>
      <color theme="1"/>
      <name val="HG丸ｺﾞｼｯｸM-PRO"/>
      <family val="3"/>
      <charset val="128"/>
    </font>
    <font>
      <sz val="12"/>
      <color theme="1"/>
      <name val="Yu Gothic"/>
      <family val="3"/>
      <charset val="128"/>
      <scheme val="minor"/>
    </font>
    <font>
      <sz val="12"/>
      <color theme="1"/>
      <name val="Yu Gothic"/>
      <family val="2"/>
      <scheme val="minor"/>
    </font>
    <font>
      <vertAlign val="subscript"/>
      <sz val="11"/>
      <color theme="1"/>
      <name val="Yu Gothic"/>
      <family val="3"/>
      <charset val="128"/>
      <scheme val="minor"/>
    </font>
    <font>
      <sz val="11"/>
      <color theme="1"/>
      <name val="HG丸ｺﾞｼｯｸM-PRO"/>
      <family val="3"/>
      <charset val="128"/>
    </font>
    <font>
      <sz val="10"/>
      <color theme="1"/>
      <name val="Yu Gothic"/>
      <family val="3"/>
      <charset val="128"/>
      <scheme val="minor"/>
    </font>
    <font>
      <b/>
      <sz val="11"/>
      <color theme="5" tint="-0.249977111117893"/>
      <name val="HG丸ｺﾞｼｯｸM-PRO"/>
      <family val="3"/>
      <charset val="128"/>
    </font>
    <font>
      <sz val="11"/>
      <color theme="0" tint="-0.34998626667073579"/>
      <name val="Yu Gothic"/>
      <family val="3"/>
      <charset val="128"/>
      <scheme val="minor"/>
    </font>
    <font>
      <u/>
      <sz val="9"/>
      <color theme="1"/>
      <name val="Yu Gothic"/>
      <family val="3"/>
      <charset val="128"/>
      <scheme val="minor"/>
    </font>
    <font>
      <sz val="11"/>
      <color rgb="FF9C0006"/>
      <name val="Yu Gothic"/>
      <family val="2"/>
      <charset val="128"/>
      <scheme val="minor"/>
    </font>
    <font>
      <sz val="10"/>
      <color theme="1"/>
      <name val="Yu Gothic"/>
      <family val="2"/>
      <scheme val="minor"/>
    </font>
    <font>
      <sz val="11"/>
      <color rgb="FFFF0000"/>
      <name val="Yu Gothic"/>
      <family val="3"/>
      <scheme val="minor"/>
    </font>
    <font>
      <b/>
      <sz val="10"/>
      <color theme="1"/>
      <name val="Yu Gothic"/>
      <family val="3"/>
      <charset val="128"/>
      <scheme val="minor"/>
    </font>
    <font>
      <sz val="9"/>
      <color theme="1"/>
      <name val="Yu Gothic"/>
      <family val="2"/>
      <scheme val="minor"/>
    </font>
    <font>
      <sz val="11"/>
      <color theme="1"/>
      <name val="ＭＳ ゴシック"/>
      <family val="3"/>
      <charset val="128"/>
    </font>
    <font>
      <sz val="16"/>
      <color theme="1"/>
      <name val="Yu Gothic"/>
      <family val="2"/>
      <scheme val="minor"/>
    </font>
    <font>
      <i/>
      <sz val="11"/>
      <color theme="1"/>
      <name val="Yu Gothic"/>
      <family val="3"/>
      <charset val="128"/>
      <scheme val="minor"/>
    </font>
    <font>
      <i/>
      <vertAlign val="subscript"/>
      <sz val="11"/>
      <color theme="1"/>
      <name val="Yu Gothic"/>
      <family val="3"/>
      <charset val="128"/>
      <scheme val="minor"/>
    </font>
    <font>
      <b/>
      <sz val="9"/>
      <color theme="1"/>
      <name val="Yu Gothic"/>
      <family val="3"/>
      <charset val="128"/>
      <scheme val="minor"/>
    </font>
    <font>
      <vertAlign val="superscript"/>
      <sz val="9"/>
      <color theme="1"/>
      <name val="Yu Gothic"/>
      <family val="3"/>
      <charset val="128"/>
      <scheme val="minor"/>
    </font>
    <font>
      <sz val="11"/>
      <name val="Yu Gothic"/>
      <family val="2"/>
      <scheme val="minor"/>
    </font>
    <font>
      <b/>
      <i/>
      <sz val="10"/>
      <color theme="1"/>
      <name val="Yu Gothic"/>
      <family val="3"/>
      <charset val="128"/>
      <scheme val="minor"/>
    </font>
    <font>
      <b/>
      <sz val="11"/>
      <color theme="9" tint="-0.249977111117893"/>
      <name val="HG丸ｺﾞｼｯｸM-PRO"/>
      <family val="3"/>
      <charset val="128"/>
    </font>
    <font>
      <i/>
      <sz val="11"/>
      <color theme="1"/>
      <name val="ＭＳ ゴシック"/>
      <family val="3"/>
      <charset val="128"/>
    </font>
    <font>
      <sz val="11"/>
      <color rgb="FFFF0000"/>
      <name val="ＭＳ ゴシック"/>
      <family val="3"/>
      <charset val="128"/>
    </font>
    <font>
      <sz val="11"/>
      <color rgb="FFFF0000"/>
      <name val="HG丸ｺﾞｼｯｸM-PRO"/>
      <family val="3"/>
      <charset val="128"/>
    </font>
    <font>
      <b/>
      <vertAlign val="superscript"/>
      <sz val="10"/>
      <color theme="1"/>
      <name val="Yu Gothic"/>
      <family val="3"/>
      <charset val="128"/>
      <scheme val="minor"/>
    </font>
    <font>
      <b/>
      <vertAlign val="superscript"/>
      <sz val="9"/>
      <color theme="1"/>
      <name val="Yu Gothic"/>
      <family val="3"/>
      <charset val="128"/>
      <scheme val="minor"/>
    </font>
    <font>
      <sz val="16"/>
      <color theme="1"/>
      <name val="HG丸ｺﾞｼｯｸM-PRO"/>
      <family val="3"/>
      <charset val="128"/>
    </font>
    <font>
      <sz val="10"/>
      <color theme="1"/>
      <name val="Times New Roman"/>
      <family val="1"/>
    </font>
    <font>
      <sz val="10"/>
      <color theme="1"/>
      <name val="ＭＳ 明朝"/>
      <family val="1"/>
      <charset val="128"/>
    </font>
    <font>
      <sz val="10"/>
      <color rgb="FF000000"/>
      <name val="Times New Roman"/>
      <family val="1"/>
    </font>
    <font>
      <sz val="10"/>
      <color rgb="FF000000"/>
      <name val="ＭＳ 明朝"/>
      <family val="1"/>
      <charset val="128"/>
    </font>
    <font>
      <sz val="10"/>
      <color theme="1"/>
      <name val="ＭＳ Ｐ明朝"/>
      <family val="1"/>
      <charset val="128"/>
    </font>
    <font>
      <u/>
      <sz val="11"/>
      <color theme="10"/>
      <name val="Yu Gothic"/>
      <family val="2"/>
      <scheme val="minor"/>
    </font>
    <font>
      <sz val="8"/>
      <color theme="1"/>
      <name val="Yu Gothic"/>
      <family val="3"/>
      <charset val="128"/>
      <scheme val="minor"/>
    </font>
    <font>
      <b/>
      <vertAlign val="subscript"/>
      <sz val="9"/>
      <color theme="1"/>
      <name val="Yu Gothic"/>
      <family val="3"/>
      <charset val="128"/>
      <scheme val="minor"/>
    </font>
    <font>
      <b/>
      <i/>
      <sz val="9"/>
      <color theme="1"/>
      <name val="Yu Gothic"/>
      <family val="3"/>
      <charset val="128"/>
      <scheme val="minor"/>
    </font>
    <font>
      <b/>
      <vertAlign val="subscript"/>
      <sz val="10"/>
      <color theme="1"/>
      <name val="Yu Gothic"/>
      <family val="3"/>
      <charset val="128"/>
      <scheme val="minor"/>
    </font>
    <font>
      <vertAlign val="superscript"/>
      <sz val="12"/>
      <color theme="1"/>
      <name val="HG丸ｺﾞｼｯｸM-PRO"/>
      <family val="3"/>
      <charset val="128"/>
    </font>
    <font>
      <vertAlign val="subscript"/>
      <sz val="11"/>
      <color theme="1"/>
      <name val="ＭＳ ゴシック"/>
      <family val="3"/>
      <charset val="128"/>
    </font>
    <font>
      <vertAlign val="superscript"/>
      <sz val="11"/>
      <color theme="1"/>
      <name val="ＭＳ ゴシック"/>
      <family val="3"/>
      <charset val="128"/>
    </font>
    <font>
      <sz val="10.5"/>
      <color theme="1"/>
      <name val="游明朝"/>
      <family val="1"/>
      <charset val="128"/>
    </font>
    <font>
      <vertAlign val="superscript"/>
      <sz val="10"/>
      <color theme="1"/>
      <name val="Yu Gothic"/>
      <family val="3"/>
      <charset val="128"/>
      <scheme val="minor"/>
    </font>
    <font>
      <vertAlign val="subscript"/>
      <sz val="10"/>
      <color theme="1"/>
      <name val="Yu Gothic"/>
      <family val="3"/>
      <charset val="128"/>
      <scheme val="minor"/>
    </font>
    <font>
      <b/>
      <sz val="11"/>
      <color theme="1"/>
      <name val="HG丸ｺﾞｼｯｸM-PRO"/>
      <family val="3"/>
      <charset val="128"/>
    </font>
    <font>
      <sz val="12"/>
      <color theme="1"/>
      <name val="Segoe UI Symbol"/>
      <family val="3"/>
    </font>
    <font>
      <sz val="10"/>
      <color rgb="FFFF0000"/>
      <name val="ＭＳ 明朝"/>
      <family val="1"/>
      <charset val="128"/>
    </font>
    <font>
      <sz val="16"/>
      <color theme="1"/>
      <name val="Yu Gothic"/>
      <family val="3"/>
      <charset val="128"/>
      <scheme val="minor"/>
    </font>
    <font>
      <sz val="10"/>
      <color rgb="FFFF0000"/>
      <name val="Yu Gothic"/>
      <family val="3"/>
      <charset val="128"/>
      <scheme val="minor"/>
    </font>
    <font>
      <b/>
      <sz val="11"/>
      <color theme="5"/>
      <name val="HG丸ｺﾞｼｯｸM-PRO"/>
      <family val="3"/>
      <charset val="128"/>
    </font>
    <font>
      <i/>
      <sz val="12"/>
      <color theme="1"/>
      <name val="HG丸ｺﾞｼｯｸM-PRO"/>
      <family val="3"/>
      <charset val="128"/>
    </font>
    <font>
      <vertAlign val="subscript"/>
      <sz val="12"/>
      <color theme="1"/>
      <name val="HG丸ｺﾞｼｯｸM-PRO"/>
      <family val="3"/>
      <charset val="128"/>
    </font>
    <font>
      <i/>
      <sz val="10"/>
      <color theme="1"/>
      <name val="Yu Gothic"/>
      <family val="3"/>
      <charset val="128"/>
      <scheme val="minor"/>
    </font>
    <font>
      <sz val="11"/>
      <name val="Yu Gothic"/>
      <family val="3"/>
      <charset val="128"/>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C7CE"/>
      </patternFill>
    </fill>
    <fill>
      <patternFill patternType="solid">
        <fgColor theme="0" tint="-0.14999847407452621"/>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bottom style="hair">
        <color indexed="64"/>
      </bottom>
      <diagonal/>
    </border>
    <border>
      <left/>
      <right/>
      <top style="medium">
        <color indexed="64"/>
      </top>
      <bottom style="thin">
        <color indexed="64"/>
      </bottom>
      <diagonal/>
    </border>
    <border>
      <left/>
      <right style="thin">
        <color theme="1"/>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style="thin">
        <color theme="1"/>
      </left>
      <right/>
      <top style="thin">
        <color theme="1"/>
      </top>
      <bottom/>
      <diagonal/>
    </border>
    <border>
      <left style="thin">
        <color theme="1"/>
      </left>
      <right/>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hair">
        <color indexed="64"/>
      </top>
      <bottom/>
      <diagonal/>
    </border>
    <border diagonalUp="1">
      <left style="medium">
        <color indexed="64"/>
      </left>
      <right style="thin">
        <color indexed="64"/>
      </right>
      <top/>
      <bottom style="thin">
        <color indexed="64"/>
      </bottom>
      <diagonal style="hair">
        <color indexed="64"/>
      </diagonal>
    </border>
    <border>
      <left/>
      <right style="hair">
        <color indexed="64"/>
      </right>
      <top style="thin">
        <color indexed="64"/>
      </top>
      <bottom style="medium">
        <color indexed="64"/>
      </bottom>
      <diagonal/>
    </border>
    <border>
      <left style="hair">
        <color indexed="64"/>
      </left>
      <right/>
      <top/>
      <bottom style="medium">
        <color indexed="64"/>
      </bottom>
      <diagonal/>
    </border>
  </borders>
  <cellStyleXfs count="3">
    <xf numFmtId="0" fontId="0" fillId="0" borderId="0"/>
    <xf numFmtId="0" fontId="19" fillId="5" borderId="0" applyNumberFormat="0" applyBorder="0" applyAlignment="0" applyProtection="0">
      <alignment vertical="center"/>
    </xf>
    <xf numFmtId="0" fontId="44" fillId="0" borderId="0" applyNumberFormat="0" applyFill="0" applyBorder="0" applyAlignment="0" applyProtection="0"/>
  </cellStyleXfs>
  <cellXfs count="1133">
    <xf numFmtId="0" fontId="0" fillId="0" borderId="0" xfId="0"/>
    <xf numFmtId="0" fontId="0" fillId="0" borderId="1" xfId="0" applyBorder="1"/>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xf numFmtId="178" fontId="0" fillId="0" borderId="1" xfId="0" applyNumberFormat="1" applyBorder="1"/>
    <xf numFmtId="0" fontId="6" fillId="0" borderId="0" xfId="0" applyFont="1"/>
    <xf numFmtId="0" fontId="12" fillId="0" borderId="0" xfId="0" applyFont="1"/>
    <xf numFmtId="0" fontId="8" fillId="0" borderId="0" xfId="0" applyFont="1" applyAlignment="1">
      <alignment horizontal="center" vertical="center"/>
    </xf>
    <xf numFmtId="0" fontId="0" fillId="0" borderId="0" xfId="0" applyAlignment="1">
      <alignment horizontal="center" vertical="center" wrapText="1"/>
    </xf>
    <xf numFmtId="0" fontId="17" fillId="0" borderId="0" xfId="0" applyFont="1"/>
    <xf numFmtId="0" fontId="0" fillId="0" borderId="0" xfId="0" applyAlignment="1">
      <alignment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pplyAlignment="1">
      <alignment wrapText="1"/>
    </xf>
    <xf numFmtId="178" fontId="0" fillId="0" borderId="0" xfId="0" applyNumberFormat="1"/>
    <xf numFmtId="0" fontId="21" fillId="0" borderId="0" xfId="0" applyFont="1"/>
    <xf numFmtId="0" fontId="0" fillId="0" borderId="1" xfId="0" applyBorder="1" applyAlignment="1">
      <alignment vertical="top" wrapText="1"/>
    </xf>
    <xf numFmtId="0" fontId="3" fillId="0" borderId="0" xfId="0" applyFont="1" applyProtection="1">
      <protection locked="0"/>
    </xf>
    <xf numFmtId="0" fontId="6" fillId="0" borderId="0" xfId="0" applyFont="1" applyAlignment="1" applyProtection="1">
      <alignment horizontal="center" vertical="top" wrapText="1"/>
      <protection locked="0"/>
    </xf>
    <xf numFmtId="0" fontId="6" fillId="3" borderId="11"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wrapText="1"/>
    </xf>
    <xf numFmtId="0" fontId="30"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178" fontId="0" fillId="0" borderId="12" xfId="0" applyNumberFormat="1" applyBorder="1"/>
    <xf numFmtId="181" fontId="0" fillId="0" borderId="1" xfId="0" applyNumberFormat="1" applyBorder="1"/>
    <xf numFmtId="0" fontId="30" fillId="0" borderId="1" xfId="0" applyFont="1" applyBorder="1"/>
    <xf numFmtId="0" fontId="0" fillId="0" borderId="12" xfId="0" applyBorder="1"/>
    <xf numFmtId="178" fontId="0" fillId="0" borderId="1" xfId="0" applyNumberFormat="1" applyBorder="1" applyAlignment="1">
      <alignment vertical="center" wrapText="1"/>
    </xf>
    <xf numFmtId="0" fontId="0" fillId="0" borderId="1" xfId="0" applyBorder="1" applyAlignment="1">
      <alignment horizontal="center" vertical="top" wrapText="1"/>
    </xf>
    <xf numFmtId="178" fontId="0" fillId="0" borderId="1" xfId="0" applyNumberForma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vertical="top"/>
    </xf>
    <xf numFmtId="178" fontId="0" fillId="0" borderId="1" xfId="0" applyNumberFormat="1" applyBorder="1" applyAlignment="1">
      <alignment horizontal="right"/>
    </xf>
    <xf numFmtId="178" fontId="7" fillId="0" borderId="0" xfId="0" applyNumberFormat="1" applyFont="1" applyAlignment="1" applyProtection="1">
      <alignment horizontal="center" vertical="center"/>
      <protection locked="0"/>
    </xf>
    <xf numFmtId="0" fontId="6" fillId="0" borderId="0" xfId="0" applyFont="1" applyAlignment="1">
      <alignment wrapText="1"/>
    </xf>
    <xf numFmtId="0" fontId="0" fillId="0" borderId="0" xfId="0" applyAlignment="1">
      <alignment horizontal="center"/>
    </xf>
    <xf numFmtId="0" fontId="4" fillId="0" borderId="0" xfId="0" applyFont="1"/>
    <xf numFmtId="0" fontId="0" fillId="0" borderId="12" xfId="0" applyBorder="1" applyAlignment="1">
      <alignment horizontal="center" vertical="center"/>
    </xf>
    <xf numFmtId="0" fontId="0" fillId="0" borderId="0" xfId="0" applyAlignment="1">
      <alignment horizontal="center" shrinkToFit="1"/>
    </xf>
    <xf numFmtId="0" fontId="14" fillId="0" borderId="0" xfId="0" applyFont="1"/>
    <xf numFmtId="0" fontId="10" fillId="0" borderId="0" xfId="0" applyFont="1"/>
    <xf numFmtId="0" fontId="11" fillId="0" borderId="0" xfId="0" applyFont="1"/>
    <xf numFmtId="0" fontId="12"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xf>
    <xf numFmtId="0" fontId="9"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shrinkToFit="1"/>
    </xf>
    <xf numFmtId="0" fontId="44" fillId="0" borderId="0" xfId="2" applyFill="1" applyBorder="1" applyAlignment="1" applyProtection="1">
      <alignment horizontal="center" vertical="center"/>
    </xf>
    <xf numFmtId="0" fontId="6"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vertical="center" wrapText="1"/>
    </xf>
    <xf numFmtId="0" fontId="44" fillId="0" borderId="0" xfId="2" applyProtection="1"/>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113" xfId="0" applyBorder="1" applyAlignment="1">
      <alignment horizontal="center" vertical="center"/>
    </xf>
    <xf numFmtId="0" fontId="0" fillId="0" borderId="0" xfId="0" applyAlignment="1">
      <alignment horizontal="left"/>
    </xf>
    <xf numFmtId="0" fontId="6" fillId="0" borderId="0" xfId="0" applyFont="1" applyAlignment="1">
      <alignment vertical="center"/>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178" fontId="7" fillId="0" borderId="0" xfId="0" applyNumberFormat="1" applyFont="1" applyAlignment="1">
      <alignment horizontal="center" vertical="center"/>
    </xf>
    <xf numFmtId="0" fontId="0" fillId="2" borderId="0" xfId="0" applyFill="1" applyAlignment="1">
      <alignment horizontal="left" vertical="center"/>
    </xf>
    <xf numFmtId="0" fontId="0" fillId="2" borderId="0" xfId="0" applyFill="1" applyAlignment="1">
      <alignment wrapText="1"/>
    </xf>
    <xf numFmtId="176" fontId="0" fillId="2" borderId="0" xfId="0" applyNumberFormat="1" applyFill="1"/>
    <xf numFmtId="176" fontId="0" fillId="2" borderId="0" xfId="0" applyNumberFormat="1" applyFill="1" applyAlignment="1">
      <alignment horizontal="left" vertical="top" wrapText="1"/>
    </xf>
    <xf numFmtId="0" fontId="0" fillId="2" borderId="0" xfId="0" applyFill="1"/>
    <xf numFmtId="176" fontId="0" fillId="2" borderId="0" xfId="0" applyNumberFormat="1" applyFill="1" applyAlignment="1">
      <alignment wrapText="1"/>
    </xf>
    <xf numFmtId="178" fontId="7" fillId="0" borderId="0" xfId="0" applyNumberFormat="1" applyFont="1" applyAlignment="1" applyProtection="1">
      <alignment horizontal="center" vertical="center" wrapText="1"/>
      <protection locked="0"/>
    </xf>
    <xf numFmtId="0" fontId="14" fillId="0" borderId="0" xfId="0" applyFont="1" applyAlignment="1">
      <alignment horizontal="left" vertical="top" wrapText="1"/>
    </xf>
    <xf numFmtId="0" fontId="14" fillId="0" borderId="0" xfId="0" applyFont="1" applyAlignment="1">
      <alignment horizontal="left" vertical="center" wrapText="1"/>
    </xf>
    <xf numFmtId="0" fontId="0" fillId="2" borderId="0" xfId="0" applyFill="1" applyAlignment="1">
      <alignment horizontal="left" vertical="top" wrapText="1"/>
    </xf>
    <xf numFmtId="58" fontId="0" fillId="2" borderId="0" xfId="0" applyNumberFormat="1" applyFill="1" applyAlignment="1">
      <alignment horizontal="right" wrapText="1"/>
    </xf>
    <xf numFmtId="0" fontId="25" fillId="2" borderId="0" xfId="0" applyFont="1" applyFill="1" applyAlignment="1">
      <alignment horizontal="center"/>
    </xf>
    <xf numFmtId="0" fontId="52" fillId="2" borderId="0" xfId="0" applyFont="1" applyFill="1" applyAlignment="1">
      <alignment horizontal="right" vertical="center"/>
    </xf>
    <xf numFmtId="0" fontId="24" fillId="2" borderId="0" xfId="0" applyFont="1" applyFill="1"/>
    <xf numFmtId="0" fontId="6" fillId="2" borderId="0" xfId="0" applyFont="1" applyFill="1" applyAlignment="1">
      <alignment horizontal="right" vertical="top" wrapText="1"/>
    </xf>
    <xf numFmtId="0" fontId="6" fillId="2" borderId="0" xfId="0" applyFont="1" applyFill="1" applyAlignment="1">
      <alignment vertical="top" wrapText="1"/>
    </xf>
    <xf numFmtId="0" fontId="0" fillId="2" borderId="0" xfId="0" applyFill="1" applyAlignment="1">
      <alignment vertical="center"/>
    </xf>
    <xf numFmtId="0" fontId="0" fillId="2" borderId="0" xfId="0" applyFill="1" applyAlignment="1">
      <alignment horizontal="center"/>
    </xf>
    <xf numFmtId="0" fontId="0" fillId="2" borderId="0" xfId="0" applyFill="1" applyAlignment="1">
      <alignment vertical="center" wrapText="1"/>
    </xf>
    <xf numFmtId="0" fontId="0" fillId="2" borderId="0" xfId="0" applyFill="1" applyAlignment="1">
      <alignment horizontal="left" vertical="center" wrapText="1"/>
    </xf>
    <xf numFmtId="0" fontId="0" fillId="2" borderId="40" xfId="0" applyFill="1" applyBorder="1" applyAlignment="1">
      <alignment horizontal="center" vertical="center" wrapText="1"/>
    </xf>
    <xf numFmtId="0" fontId="0" fillId="2" borderId="12" xfId="0" applyFill="1" applyBorder="1" applyAlignment="1">
      <alignment vertical="center" wrapText="1"/>
    </xf>
    <xf numFmtId="0" fontId="0" fillId="2" borderId="0" xfId="0" applyFill="1" applyAlignment="1">
      <alignment horizontal="left" vertical="top"/>
    </xf>
    <xf numFmtId="0" fontId="0" fillId="2" borderId="34" xfId="0" applyFill="1" applyBorder="1" applyAlignment="1">
      <alignment horizontal="center" vertical="center" wrapText="1"/>
    </xf>
    <xf numFmtId="0" fontId="0" fillId="2" borderId="48" xfId="0" applyFill="1" applyBorder="1" applyAlignment="1">
      <alignment vertical="center"/>
    </xf>
    <xf numFmtId="0" fontId="0" fillId="2" borderId="109" xfId="0" applyFill="1" applyBorder="1"/>
    <xf numFmtId="0" fontId="0" fillId="2" borderId="49" xfId="0" applyFill="1" applyBorder="1" applyAlignment="1">
      <alignment vertical="center"/>
    </xf>
    <xf numFmtId="0" fontId="0" fillId="2" borderId="110" xfId="0" applyFill="1" applyBorder="1"/>
    <xf numFmtId="0" fontId="0" fillId="2" borderId="110" xfId="0" applyFill="1" applyBorder="1" applyAlignment="1">
      <alignment vertical="center"/>
    </xf>
    <xf numFmtId="0" fontId="0" fillId="2" borderId="21" xfId="0" applyFill="1" applyBorder="1" applyAlignment="1">
      <alignment horizontal="center" vertical="center"/>
    </xf>
    <xf numFmtId="0" fontId="0" fillId="2" borderId="20" xfId="0" applyFill="1" applyBorder="1"/>
    <xf numFmtId="0" fontId="0" fillId="2" borderId="47" xfId="0" applyFill="1" applyBorder="1" applyAlignment="1">
      <alignment vertical="center" wrapText="1"/>
    </xf>
    <xf numFmtId="0" fontId="0" fillId="2" borderId="32" xfId="0" applyFill="1" applyBorder="1" applyAlignment="1">
      <alignment horizontal="right" vertical="center"/>
    </xf>
    <xf numFmtId="0" fontId="0" fillId="2" borderId="0" xfId="0" applyFill="1" applyAlignment="1">
      <alignment horizontal="center" wrapText="1"/>
    </xf>
    <xf numFmtId="0" fontId="6" fillId="2" borderId="0" xfId="0" applyFont="1" applyFill="1"/>
    <xf numFmtId="0" fontId="34" fillId="2" borderId="0" xfId="0" applyFont="1" applyFill="1"/>
    <xf numFmtId="0" fontId="2" fillId="2" borderId="0" xfId="0" applyFont="1" applyFill="1"/>
    <xf numFmtId="0" fontId="2" fillId="2" borderId="0" xfId="0" applyFont="1" applyFill="1" applyAlignment="1">
      <alignment wrapText="1"/>
    </xf>
    <xf numFmtId="0" fontId="14" fillId="2" borderId="0" xfId="0" applyFont="1" applyFill="1"/>
    <xf numFmtId="0" fontId="2" fillId="2" borderId="0" xfId="0" applyFont="1" applyFill="1" applyAlignment="1">
      <alignment horizontal="center"/>
    </xf>
    <xf numFmtId="0" fontId="2" fillId="2" borderId="0" xfId="0" applyFont="1" applyFill="1" applyAlignment="1">
      <alignment vertical="center"/>
    </xf>
    <xf numFmtId="0" fontId="35" fillId="2" borderId="0" xfId="0" applyFont="1" applyFill="1"/>
    <xf numFmtId="0" fontId="7" fillId="2" borderId="0" xfId="0" applyFont="1" applyFill="1"/>
    <xf numFmtId="0" fontId="7" fillId="2" borderId="0" xfId="0" applyFont="1" applyFill="1" applyAlignment="1">
      <alignment horizontal="center"/>
    </xf>
    <xf numFmtId="0" fontId="7" fillId="2" borderId="0" xfId="0" applyFont="1" applyFill="1" applyAlignment="1">
      <alignment vertical="center"/>
    </xf>
    <xf numFmtId="0" fontId="7" fillId="2" borderId="0" xfId="0" applyFont="1" applyFill="1" applyAlignment="1">
      <alignment vertical="center" wrapText="1"/>
    </xf>
    <xf numFmtId="0" fontId="2" fillId="2" borderId="0" xfId="0" applyFont="1" applyFill="1" applyAlignment="1">
      <alignment vertical="center" wrapText="1"/>
    </xf>
    <xf numFmtId="14" fontId="0" fillId="0" borderId="1" xfId="0" applyNumberFormat="1" applyBorder="1" applyAlignment="1">
      <alignment vertical="center"/>
    </xf>
    <xf numFmtId="0" fontId="0" fillId="2" borderId="14" xfId="0" applyFill="1" applyBorder="1" applyAlignment="1">
      <alignment horizontal="center" vertical="center" wrapText="1"/>
    </xf>
    <xf numFmtId="0" fontId="3" fillId="6" borderId="0" xfId="0" applyFont="1" applyFill="1"/>
    <xf numFmtId="0" fontId="6" fillId="6" borderId="0" xfId="0" applyFont="1" applyFill="1" applyAlignment="1">
      <alignment wrapText="1"/>
    </xf>
    <xf numFmtId="0" fontId="6" fillId="6" borderId="0" xfId="0" applyFont="1" applyFill="1"/>
    <xf numFmtId="0" fontId="6" fillId="6" borderId="82" xfId="0" applyFont="1" applyFill="1" applyBorder="1"/>
    <xf numFmtId="0" fontId="6" fillId="6" borderId="0" xfId="0" applyFont="1" applyFill="1" applyAlignment="1">
      <alignment horizontal="center"/>
    </xf>
    <xf numFmtId="0" fontId="6" fillId="6" borderId="89" xfId="0" applyFont="1" applyFill="1" applyBorder="1"/>
    <xf numFmtId="0" fontId="6" fillId="6" borderId="84" xfId="0" applyFont="1" applyFill="1" applyBorder="1"/>
    <xf numFmtId="0" fontId="6" fillId="6" borderId="91" xfId="0" applyFont="1" applyFill="1" applyBorder="1" applyAlignment="1">
      <alignment wrapText="1"/>
    </xf>
    <xf numFmtId="0" fontId="6" fillId="6" borderId="1" xfId="0" applyFont="1" applyFill="1" applyBorder="1" applyAlignment="1">
      <alignment horizontal="center" vertical="center"/>
    </xf>
    <xf numFmtId="0" fontId="6" fillId="6" borderId="83" xfId="0" applyFont="1" applyFill="1" applyBorder="1"/>
    <xf numFmtId="0" fontId="6" fillId="6" borderId="81" xfId="0" applyFont="1" applyFill="1" applyBorder="1"/>
    <xf numFmtId="0" fontId="9" fillId="6" borderId="0" xfId="0" applyFont="1" applyFill="1" applyAlignment="1">
      <alignment horizontal="center"/>
    </xf>
    <xf numFmtId="0" fontId="6" fillId="6" borderId="87" xfId="0" applyFont="1" applyFill="1" applyBorder="1"/>
    <xf numFmtId="0" fontId="6" fillId="6" borderId="91" xfId="0" applyFont="1" applyFill="1" applyBorder="1"/>
    <xf numFmtId="0" fontId="17" fillId="6" borderId="0" xfId="0" applyFont="1" applyFill="1"/>
    <xf numFmtId="0" fontId="0" fillId="6" borderId="0" xfId="0" applyFill="1"/>
    <xf numFmtId="0" fontId="6" fillId="6" borderId="62" xfId="0" applyFont="1" applyFill="1" applyBorder="1"/>
    <xf numFmtId="0" fontId="6" fillId="6" borderId="55" xfId="0" applyFont="1" applyFill="1" applyBorder="1"/>
    <xf numFmtId="0" fontId="6" fillId="6" borderId="0" xfId="0" applyFont="1" applyFill="1" applyAlignment="1" applyProtection="1">
      <alignment horizontal="center" shrinkToFit="1"/>
      <protection locked="0"/>
    </xf>
    <xf numFmtId="0" fontId="6" fillId="6" borderId="50" xfId="0" applyFont="1" applyFill="1" applyBorder="1" applyAlignment="1">
      <alignment wrapText="1"/>
    </xf>
    <xf numFmtId="0" fontId="6" fillId="6" borderId="46" xfId="0" applyFont="1" applyFill="1" applyBorder="1" applyAlignment="1">
      <alignment wrapText="1"/>
    </xf>
    <xf numFmtId="0" fontId="6" fillId="6" borderId="53" xfId="0" applyFont="1" applyFill="1" applyBorder="1"/>
    <xf numFmtId="177" fontId="6" fillId="6" borderId="50" xfId="0" applyNumberFormat="1" applyFont="1" applyFill="1" applyBorder="1"/>
    <xf numFmtId="0" fontId="6" fillId="6" borderId="6" xfId="0" applyFont="1" applyFill="1" applyBorder="1" applyAlignment="1">
      <alignment vertical="top" wrapText="1"/>
    </xf>
    <xf numFmtId="0" fontId="6" fillId="6" borderId="12" xfId="0" applyFont="1" applyFill="1" applyBorder="1"/>
    <xf numFmtId="177" fontId="6" fillId="6" borderId="6" xfId="0" applyNumberFormat="1" applyFont="1" applyFill="1" applyBorder="1"/>
    <xf numFmtId="0" fontId="6" fillId="6" borderId="7" xfId="0" applyFont="1" applyFill="1" applyBorder="1"/>
    <xf numFmtId="0" fontId="6" fillId="6" borderId="6" xfId="0" applyFont="1" applyFill="1" applyBorder="1" applyAlignment="1">
      <alignment wrapText="1"/>
    </xf>
    <xf numFmtId="0" fontId="6" fillId="6" borderId="12" xfId="0" applyFont="1" applyFill="1" applyBorder="1" applyAlignment="1">
      <alignment vertical="top" wrapText="1"/>
    </xf>
    <xf numFmtId="177" fontId="6" fillId="6" borderId="6" xfId="0" applyNumberFormat="1" applyFont="1" applyFill="1" applyBorder="1" applyAlignment="1">
      <alignment vertical="top" wrapText="1"/>
    </xf>
    <xf numFmtId="0" fontId="6" fillId="6" borderId="17" xfId="0" applyFont="1" applyFill="1" applyBorder="1" applyAlignment="1">
      <alignment vertical="top" wrapText="1"/>
    </xf>
    <xf numFmtId="0" fontId="6" fillId="6" borderId="44" xfId="0" applyFont="1" applyFill="1" applyBorder="1" applyAlignment="1">
      <alignment vertical="top" wrapText="1"/>
    </xf>
    <xf numFmtId="0" fontId="6" fillId="6" borderId="18" xfId="0" applyFont="1" applyFill="1" applyBorder="1"/>
    <xf numFmtId="177" fontId="6" fillId="6" borderId="4" xfId="0" applyNumberFormat="1" applyFont="1" applyFill="1" applyBorder="1" applyAlignment="1">
      <alignment vertical="top" wrapText="1"/>
    </xf>
    <xf numFmtId="0" fontId="6" fillId="6" borderId="5" xfId="0" applyFont="1" applyFill="1" applyBorder="1"/>
    <xf numFmtId="0" fontId="6" fillId="6" borderId="1" xfId="0" applyFont="1" applyFill="1" applyBorder="1"/>
    <xf numFmtId="177" fontId="6" fillId="6" borderId="8" xfId="0" applyNumberFormat="1" applyFont="1" applyFill="1" applyBorder="1" applyAlignment="1">
      <alignment vertical="top" wrapText="1"/>
    </xf>
    <xf numFmtId="0" fontId="6" fillId="6" borderId="9" xfId="0" applyFont="1" applyFill="1" applyBorder="1"/>
    <xf numFmtId="177" fontId="6" fillId="6" borderId="0" xfId="0" applyNumberFormat="1" applyFont="1" applyFill="1" applyAlignment="1">
      <alignment vertical="top" wrapText="1"/>
    </xf>
    <xf numFmtId="179" fontId="6" fillId="6" borderId="51" xfId="0" applyNumberFormat="1" applyFont="1" applyFill="1" applyBorder="1" applyAlignment="1">
      <alignment horizontal="right" vertical="center"/>
    </xf>
    <xf numFmtId="179" fontId="6" fillId="6" borderId="46" xfId="0" applyNumberFormat="1" applyFont="1" applyFill="1" applyBorder="1" applyAlignment="1">
      <alignment horizontal="right"/>
    </xf>
    <xf numFmtId="180" fontId="6" fillId="6" borderId="122" xfId="0" applyNumberFormat="1" applyFont="1" applyFill="1" applyBorder="1" applyAlignment="1">
      <alignment horizontal="right"/>
    </xf>
    <xf numFmtId="0" fontId="6" fillId="6" borderId="42" xfId="0" applyFont="1" applyFill="1" applyBorder="1"/>
    <xf numFmtId="179" fontId="6" fillId="6" borderId="43" xfId="0" applyNumberFormat="1" applyFont="1" applyFill="1" applyBorder="1" applyAlignment="1">
      <alignment horizontal="right"/>
    </xf>
    <xf numFmtId="180" fontId="6" fillId="6" borderId="28" xfId="0" applyNumberFormat="1" applyFont="1" applyFill="1" applyBorder="1" applyAlignment="1">
      <alignment horizontal="right"/>
    </xf>
    <xf numFmtId="0" fontId="6" fillId="6" borderId="0" xfId="0" applyFont="1" applyFill="1" applyAlignment="1" applyProtection="1">
      <alignment horizontal="center" vertical="center" wrapText="1"/>
      <protection locked="0"/>
    </xf>
    <xf numFmtId="0" fontId="6" fillId="6" borderId="0" xfId="0" applyFont="1" applyFill="1" applyAlignment="1">
      <alignment horizontal="center" vertical="center" wrapText="1"/>
    </xf>
    <xf numFmtId="0" fontId="6" fillId="6" borderId="0" xfId="0" applyFont="1" applyFill="1" applyAlignment="1">
      <alignment horizontal="left" vertical="top" wrapText="1"/>
    </xf>
    <xf numFmtId="0" fontId="6" fillId="6" borderId="0" xfId="0" applyFont="1" applyFill="1" applyAlignment="1">
      <alignment horizontal="right"/>
    </xf>
    <xf numFmtId="0" fontId="6" fillId="6" borderId="34" xfId="0" applyFont="1" applyFill="1" applyBorder="1" applyAlignment="1">
      <alignment horizontal="center"/>
    </xf>
    <xf numFmtId="0" fontId="6" fillId="6" borderId="62" xfId="0" applyFont="1" applyFill="1" applyBorder="1" applyAlignment="1">
      <alignment horizontal="center" vertical="center"/>
    </xf>
    <xf numFmtId="0" fontId="6" fillId="6" borderId="63" xfId="0" applyFont="1" applyFill="1" applyBorder="1" applyAlignment="1">
      <alignment horizontal="center" vertical="center"/>
    </xf>
    <xf numFmtId="0" fontId="9" fillId="6" borderId="55" xfId="0" applyFont="1" applyFill="1" applyBorder="1" applyAlignment="1">
      <alignment horizontal="center" vertical="center"/>
    </xf>
    <xf numFmtId="0" fontId="6" fillId="6" borderId="64" xfId="0" applyFont="1" applyFill="1" applyBorder="1" applyAlignment="1">
      <alignment horizontal="center" vertical="center"/>
    </xf>
    <xf numFmtId="0" fontId="6" fillId="6" borderId="0" xfId="0" applyFont="1" applyFill="1" applyAlignment="1" applyProtection="1">
      <alignment horizontal="left" vertical="top" wrapText="1"/>
      <protection locked="0"/>
    </xf>
    <xf numFmtId="0" fontId="6" fillId="6" borderId="16" xfId="0" applyFont="1" applyFill="1" applyBorder="1" applyAlignment="1">
      <alignment horizontal="center"/>
    </xf>
    <xf numFmtId="180" fontId="6" fillId="6" borderId="50" xfId="0" applyNumberFormat="1" applyFont="1" applyFill="1" applyBorder="1"/>
    <xf numFmtId="180" fontId="6" fillId="6" borderId="3" xfId="0" applyNumberFormat="1" applyFont="1" applyFill="1" applyBorder="1" applyAlignment="1">
      <alignment horizontal="right"/>
    </xf>
    <xf numFmtId="180" fontId="6" fillId="6" borderId="46" xfId="0" applyNumberFormat="1" applyFont="1" applyFill="1" applyBorder="1" applyAlignment="1">
      <alignment horizontal="right"/>
    </xf>
    <xf numFmtId="0" fontId="6" fillId="6" borderId="22" xfId="0" applyFont="1" applyFill="1" applyBorder="1" applyAlignment="1">
      <alignment horizontal="center"/>
    </xf>
    <xf numFmtId="180" fontId="6" fillId="6" borderId="8" xfId="0" applyNumberFormat="1" applyFont="1" applyFill="1" applyBorder="1"/>
    <xf numFmtId="180" fontId="6" fillId="6" borderId="11" xfId="0" applyNumberFormat="1" applyFont="1" applyFill="1" applyBorder="1" applyAlignment="1">
      <alignment horizontal="right"/>
    </xf>
    <xf numFmtId="180" fontId="6" fillId="6" borderId="43" xfId="0" applyNumberFormat="1" applyFont="1" applyFill="1" applyBorder="1" applyAlignment="1">
      <alignment horizontal="right"/>
    </xf>
    <xf numFmtId="180" fontId="6" fillId="6" borderId="0" xfId="0" applyNumberFormat="1" applyFont="1" applyFill="1" applyAlignment="1">
      <alignment horizontal="right"/>
    </xf>
    <xf numFmtId="0" fontId="6" fillId="6" borderId="34" xfId="0" applyFont="1" applyFill="1" applyBorder="1" applyAlignment="1">
      <alignment vertical="center"/>
    </xf>
    <xf numFmtId="0" fontId="6" fillId="6" borderId="62" xfId="0" applyFont="1" applyFill="1" applyBorder="1" applyAlignment="1">
      <alignment vertical="center"/>
    </xf>
    <xf numFmtId="0" fontId="6" fillId="6" borderId="63" xfId="0" applyFont="1" applyFill="1" applyBorder="1" applyAlignment="1">
      <alignment vertical="center"/>
    </xf>
    <xf numFmtId="0" fontId="9" fillId="6" borderId="63" xfId="0" applyFont="1" applyFill="1" applyBorder="1" applyAlignment="1">
      <alignment vertical="center"/>
    </xf>
    <xf numFmtId="0" fontId="9" fillId="6" borderId="63" xfId="0" applyFont="1" applyFill="1" applyBorder="1" applyAlignment="1">
      <alignment horizontal="center" vertical="center"/>
    </xf>
    <xf numFmtId="0" fontId="6" fillId="6" borderId="20" xfId="0" applyFont="1" applyFill="1" applyBorder="1" applyAlignment="1">
      <alignment horizontal="center"/>
    </xf>
    <xf numFmtId="180" fontId="6" fillId="6" borderId="6" xfId="0" applyNumberFormat="1" applyFont="1" applyFill="1" applyBorder="1"/>
    <xf numFmtId="180" fontId="6" fillId="6" borderId="1" xfId="0" applyNumberFormat="1" applyFont="1" applyFill="1" applyBorder="1" applyAlignment="1">
      <alignment horizontal="right"/>
    </xf>
    <xf numFmtId="0" fontId="6" fillId="6" borderId="32" xfId="0" applyFont="1" applyFill="1" applyBorder="1" applyAlignment="1">
      <alignment horizontal="center"/>
    </xf>
    <xf numFmtId="180" fontId="6" fillId="6" borderId="112" xfId="0" applyNumberFormat="1" applyFont="1" applyFill="1" applyBorder="1"/>
    <xf numFmtId="180" fontId="6" fillId="6" borderId="52" xfId="0" applyNumberFormat="1" applyFont="1" applyFill="1" applyBorder="1" applyAlignment="1">
      <alignment horizontal="right"/>
    </xf>
    <xf numFmtId="0" fontId="6" fillId="6" borderId="0" xfId="0" applyFont="1" applyFill="1" applyProtection="1">
      <protection locked="0"/>
    </xf>
    <xf numFmtId="0" fontId="6" fillId="6" borderId="31" xfId="0" applyFont="1" applyFill="1" applyBorder="1" applyAlignment="1">
      <alignment vertical="center"/>
    </xf>
    <xf numFmtId="0" fontId="6" fillId="6" borderId="0" xfId="0" applyFont="1" applyFill="1" applyAlignment="1" applyProtection="1">
      <alignment horizontal="center" vertical="top" wrapText="1"/>
      <protection locked="0"/>
    </xf>
    <xf numFmtId="0" fontId="44" fillId="0" borderId="0" xfId="2" applyAlignment="1" applyProtection="1">
      <alignment horizontal="left" vertical="top" wrapText="1"/>
    </xf>
    <xf numFmtId="0" fontId="3" fillId="0" borderId="0" xfId="0" applyFont="1" applyAlignment="1">
      <alignment horizontal="left" vertical="top" wrapText="1"/>
    </xf>
    <xf numFmtId="0" fontId="15" fillId="0" borderId="0" xfId="0" applyFont="1" applyAlignment="1">
      <alignment horizontal="center" vertical="center"/>
    </xf>
    <xf numFmtId="0" fontId="6" fillId="6" borderId="77" xfId="0" applyFont="1" applyFill="1" applyBorder="1" applyAlignment="1">
      <alignment horizontal="center" vertical="center" wrapText="1"/>
    </xf>
    <xf numFmtId="0" fontId="6" fillId="6" borderId="94" xfId="0" applyFont="1" applyFill="1" applyBorder="1" applyAlignment="1">
      <alignment horizontal="center" vertical="center" wrapText="1"/>
    </xf>
    <xf numFmtId="0" fontId="6" fillId="6" borderId="101" xfId="0" applyFont="1" applyFill="1" applyBorder="1"/>
    <xf numFmtId="0" fontId="6" fillId="6" borderId="120" xfId="0" applyFont="1" applyFill="1" applyBorder="1"/>
    <xf numFmtId="0" fontId="6" fillId="6" borderId="120" xfId="0" applyFont="1" applyFill="1" applyBorder="1" applyAlignment="1">
      <alignment vertical="center"/>
    </xf>
    <xf numFmtId="0" fontId="6" fillId="6" borderId="82" xfId="0" applyFont="1" applyFill="1" applyBorder="1" applyAlignment="1">
      <alignment vertical="center" wrapText="1"/>
    </xf>
    <xf numFmtId="0" fontId="6" fillId="6" borderId="121" xfId="0" applyFont="1" applyFill="1" applyBorder="1" applyAlignment="1">
      <alignment vertical="center"/>
    </xf>
    <xf numFmtId="0" fontId="6" fillId="6" borderId="8" xfId="0" applyFont="1" applyFill="1" applyBorder="1" applyAlignment="1">
      <alignment horizontal="center" vertical="top" wrapText="1"/>
    </xf>
    <xf numFmtId="0" fontId="6" fillId="6" borderId="9" xfId="0" applyFont="1" applyFill="1" applyBorder="1" applyAlignment="1">
      <alignment horizontal="center"/>
    </xf>
    <xf numFmtId="0" fontId="6" fillId="6" borderId="50" xfId="0" applyFont="1" applyFill="1" applyBorder="1"/>
    <xf numFmtId="0" fontId="6" fillId="6" borderId="6" xfId="0" applyFont="1" applyFill="1" applyBorder="1"/>
    <xf numFmtId="0" fontId="6" fillId="6" borderId="8" xfId="0" applyFont="1" applyFill="1" applyBorder="1"/>
    <xf numFmtId="0" fontId="6" fillId="0" borderId="131" xfId="0" applyFont="1" applyBorder="1" applyAlignment="1">
      <alignment vertical="center"/>
    </xf>
    <xf numFmtId="0" fontId="6" fillId="0" borderId="132" xfId="0" applyFont="1" applyBorder="1" applyAlignment="1">
      <alignment vertical="center"/>
    </xf>
    <xf numFmtId="179" fontId="6" fillId="6" borderId="57" xfId="0" applyNumberFormat="1" applyFont="1" applyFill="1" applyBorder="1" applyAlignment="1">
      <alignment horizontal="right" vertical="center"/>
    </xf>
    <xf numFmtId="179" fontId="6" fillId="6" borderId="8" xfId="0" applyNumberFormat="1" applyFont="1" applyFill="1" applyBorder="1" applyAlignment="1">
      <alignment horizontal="right"/>
    </xf>
    <xf numFmtId="179" fontId="6" fillId="6" borderId="9" xfId="0" applyNumberFormat="1" applyFont="1" applyFill="1" applyBorder="1" applyAlignment="1">
      <alignment horizontal="right"/>
    </xf>
    <xf numFmtId="179" fontId="6" fillId="6" borderId="137" xfId="0" applyNumberFormat="1" applyFont="1" applyFill="1" applyBorder="1" applyAlignment="1">
      <alignment horizontal="right"/>
    </xf>
    <xf numFmtId="0" fontId="6" fillId="6" borderId="0" xfId="0" applyFont="1" applyFill="1" applyAlignment="1" applyProtection="1">
      <alignment horizontal="left" wrapText="1"/>
      <protection locked="0"/>
    </xf>
    <xf numFmtId="0" fontId="9" fillId="6"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top" wrapText="1"/>
      <protection locked="0"/>
    </xf>
    <xf numFmtId="0" fontId="15" fillId="6" borderId="0" xfId="0" applyFont="1" applyFill="1" applyAlignment="1" applyProtection="1">
      <alignment horizontal="center" vertical="center" wrapText="1"/>
      <protection locked="0"/>
    </xf>
    <xf numFmtId="178" fontId="7" fillId="6" borderId="0" xfId="0" applyNumberFormat="1" applyFont="1" applyFill="1" applyAlignment="1" applyProtection="1">
      <alignment horizontal="center" vertical="center" wrapText="1"/>
      <protection locked="0"/>
    </xf>
    <xf numFmtId="0" fontId="0" fillId="0" borderId="0" xfId="0" applyAlignment="1">
      <alignment horizontal="left" vertical="top" wrapText="1"/>
    </xf>
    <xf numFmtId="0" fontId="9" fillId="2" borderId="0" xfId="0" applyFont="1" applyFill="1" applyAlignment="1">
      <alignment horizontal="left" vertical="top" wrapText="1"/>
    </xf>
    <xf numFmtId="0" fontId="6" fillId="6" borderId="83" xfId="0" applyFont="1" applyFill="1" applyBorder="1" applyAlignment="1">
      <alignment vertical="center" wrapText="1"/>
    </xf>
    <xf numFmtId="0" fontId="9" fillId="6" borderId="4" xfId="0" applyFont="1" applyFill="1" applyBorder="1" applyAlignment="1">
      <alignment vertical="center"/>
    </xf>
    <xf numFmtId="0" fontId="9" fillId="6" borderId="5" xfId="0" applyFont="1" applyFill="1" applyBorder="1" applyAlignment="1">
      <alignment vertical="center"/>
    </xf>
    <xf numFmtId="180" fontId="6" fillId="6" borderId="0" xfId="0" applyNumberFormat="1" applyFont="1" applyFill="1"/>
    <xf numFmtId="0" fontId="14" fillId="0" borderId="0" xfId="0" applyFont="1" applyAlignment="1">
      <alignment horizontal="left"/>
    </xf>
    <xf numFmtId="0" fontId="0" fillId="0" borderId="0" xfId="0" applyAlignment="1">
      <alignment horizontal="center" wrapText="1" shrinkToFit="1"/>
    </xf>
    <xf numFmtId="0" fontId="0" fillId="0" borderId="0" xfId="0" applyAlignment="1">
      <alignment horizontal="left" vertical="center"/>
    </xf>
    <xf numFmtId="0" fontId="11" fillId="0" borderId="0" xfId="0" applyFont="1" applyAlignment="1">
      <alignment horizontal="center" vertical="center"/>
    </xf>
    <xf numFmtId="181" fontId="6" fillId="6" borderId="1" xfId="0" applyNumberFormat="1" applyFont="1" applyFill="1" applyBorder="1"/>
    <xf numFmtId="177" fontId="6" fillId="6" borderId="8" xfId="0" applyNumberFormat="1" applyFont="1" applyFill="1" applyBorder="1" applyAlignment="1">
      <alignment vertical="center" wrapText="1"/>
    </xf>
    <xf numFmtId="0" fontId="6" fillId="6" borderId="9" xfId="0" applyFont="1" applyFill="1" applyBorder="1" applyAlignment="1">
      <alignment vertical="center"/>
    </xf>
    <xf numFmtId="0" fontId="6" fillId="6" borderId="0" xfId="0" applyFont="1" applyFill="1" applyAlignment="1">
      <alignment vertical="center"/>
    </xf>
    <xf numFmtId="0" fontId="3" fillId="0" borderId="0" xfId="0" applyFont="1" applyAlignment="1">
      <alignment vertical="center"/>
    </xf>
    <xf numFmtId="0" fontId="6" fillId="6" borderId="0" xfId="0" applyFont="1" applyFill="1" applyAlignment="1">
      <alignment horizontal="center" vertical="center"/>
    </xf>
    <xf numFmtId="177" fontId="6" fillId="6" borderId="0" xfId="0" applyNumberFormat="1" applyFont="1" applyFill="1" applyAlignment="1">
      <alignment vertical="center" wrapText="1"/>
    </xf>
    <xf numFmtId="0" fontId="3" fillId="6" borderId="0" xfId="0" applyFont="1" applyFill="1" applyAlignment="1">
      <alignment vertical="center"/>
    </xf>
    <xf numFmtId="0" fontId="0" fillId="2" borderId="20" xfId="0" applyFill="1" applyBorder="1" applyAlignment="1">
      <alignment vertical="center"/>
    </xf>
    <xf numFmtId="0" fontId="23" fillId="2" borderId="20" xfId="0" applyFont="1" applyFill="1" applyBorder="1" applyAlignment="1">
      <alignment horizontal="center" vertical="center" wrapText="1"/>
    </xf>
    <xf numFmtId="0" fontId="6" fillId="2" borderId="32" xfId="0" applyFont="1" applyFill="1" applyBorder="1" applyAlignment="1">
      <alignment horizontal="right" vertical="center"/>
    </xf>
    <xf numFmtId="0" fontId="0" fillId="2" borderId="16" xfId="0" applyFill="1" applyBorder="1"/>
    <xf numFmtId="0" fontId="24" fillId="2" borderId="0" xfId="0" applyFont="1" applyFill="1" applyAlignment="1">
      <alignment horizontal="left"/>
    </xf>
    <xf numFmtId="0" fontId="6" fillId="2" borderId="0" xfId="0" applyFont="1" applyFill="1" applyAlignment="1">
      <alignment horizontal="center"/>
    </xf>
    <xf numFmtId="0" fontId="6" fillId="2" borderId="0" xfId="0" applyFont="1" applyFill="1" applyAlignment="1">
      <alignment vertical="center"/>
    </xf>
    <xf numFmtId="0" fontId="6" fillId="2" borderId="0" xfId="0" applyFont="1" applyFill="1" applyAlignment="1">
      <alignment vertical="center" wrapText="1"/>
    </xf>
    <xf numFmtId="0" fontId="6" fillId="2" borderId="45" xfId="0" applyFont="1" applyFill="1" applyBorder="1" applyAlignment="1">
      <alignment horizontal="center"/>
    </xf>
    <xf numFmtId="0" fontId="6" fillId="2" borderId="26" xfId="0" applyFont="1" applyFill="1" applyBorder="1" applyAlignment="1">
      <alignment horizontal="right"/>
    </xf>
    <xf numFmtId="0" fontId="6" fillId="2" borderId="71"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12" xfId="0" applyFont="1" applyFill="1" applyBorder="1" applyAlignment="1">
      <alignment vertical="center" wrapText="1"/>
    </xf>
    <xf numFmtId="0" fontId="6" fillId="2" borderId="27" xfId="0" applyFont="1" applyFill="1" applyBorder="1" applyAlignment="1">
      <alignment vertical="center" wrapText="1"/>
    </xf>
    <xf numFmtId="0" fontId="6" fillId="2" borderId="12" xfId="0" applyFont="1" applyFill="1" applyBorder="1" applyAlignment="1">
      <alignment vertical="center"/>
    </xf>
    <xf numFmtId="0" fontId="6" fillId="2" borderId="27" xfId="0" applyFont="1" applyFill="1" applyBorder="1" applyAlignment="1">
      <alignment vertical="center"/>
    </xf>
    <xf numFmtId="0" fontId="6" fillId="2" borderId="25" xfId="0" applyFont="1" applyFill="1" applyBorder="1" applyAlignment="1">
      <alignment horizontal="right" vertical="center"/>
    </xf>
    <xf numFmtId="0" fontId="6" fillId="2" borderId="12" xfId="0" applyFont="1" applyFill="1" applyBorder="1" applyAlignment="1">
      <alignment horizontal="center" vertical="center" wrapText="1"/>
    </xf>
    <xf numFmtId="0" fontId="6" fillId="2" borderId="25" xfId="0" applyFont="1" applyFill="1" applyBorder="1" applyAlignment="1">
      <alignment vertical="center"/>
    </xf>
    <xf numFmtId="0" fontId="6" fillId="2" borderId="43" xfId="0" applyFont="1" applyFill="1" applyBorder="1" applyAlignment="1">
      <alignment vertical="center"/>
    </xf>
    <xf numFmtId="0" fontId="6" fillId="2" borderId="28" xfId="0" applyFont="1" applyFill="1" applyBorder="1" applyAlignment="1">
      <alignment vertical="center"/>
    </xf>
    <xf numFmtId="0" fontId="6" fillId="2" borderId="39" xfId="0" applyFont="1" applyFill="1" applyBorder="1" applyAlignment="1">
      <alignment vertical="center"/>
    </xf>
    <xf numFmtId="177" fontId="6" fillId="6" borderId="111" xfId="0" applyNumberFormat="1" applyFont="1" applyFill="1" applyBorder="1" applyAlignment="1">
      <alignment vertical="top" wrapText="1"/>
    </xf>
    <xf numFmtId="0" fontId="6" fillId="6" borderId="36" xfId="0" applyFont="1" applyFill="1" applyBorder="1" applyAlignment="1" applyProtection="1">
      <alignment horizontal="center" shrinkToFit="1"/>
      <protection locked="0"/>
    </xf>
    <xf numFmtId="177" fontId="6" fillId="6" borderId="50" xfId="0" applyNumberFormat="1" applyFont="1" applyFill="1" applyBorder="1" applyAlignment="1">
      <alignment vertical="top" wrapText="1"/>
    </xf>
    <xf numFmtId="177" fontId="6" fillId="6" borderId="1" xfId="0" applyNumberFormat="1" applyFont="1" applyFill="1" applyBorder="1" applyAlignment="1">
      <alignment vertical="top" wrapText="1"/>
    </xf>
    <xf numFmtId="0" fontId="6" fillId="6" borderId="125" xfId="0" applyFont="1" applyFill="1" applyBorder="1"/>
    <xf numFmtId="0" fontId="6" fillId="6" borderId="45" xfId="0" applyFont="1" applyFill="1" applyBorder="1"/>
    <xf numFmtId="0" fontId="6" fillId="6" borderId="4" xfId="0" applyFont="1" applyFill="1" applyBorder="1"/>
    <xf numFmtId="0" fontId="6" fillId="6" borderId="10" xfId="0" applyFont="1" applyFill="1" applyBorder="1"/>
    <xf numFmtId="181" fontId="6" fillId="6" borderId="7" xfId="0" applyNumberFormat="1" applyFont="1" applyFill="1" applyBorder="1"/>
    <xf numFmtId="0" fontId="6" fillId="6" borderId="8" xfId="0" applyFont="1" applyFill="1" applyBorder="1" applyAlignment="1">
      <alignment vertical="center"/>
    </xf>
    <xf numFmtId="177" fontId="6" fillId="6" borderId="57" xfId="0" applyNumberFormat="1" applyFont="1" applyFill="1" applyBorder="1" applyAlignment="1">
      <alignment vertical="top" wrapText="1"/>
    </xf>
    <xf numFmtId="0" fontId="9" fillId="6" borderId="64" xfId="0" applyFont="1" applyFill="1" applyBorder="1" applyAlignment="1">
      <alignment horizontal="center" vertical="center"/>
    </xf>
    <xf numFmtId="180" fontId="6" fillId="6" borderId="53" xfId="0" applyNumberFormat="1" applyFont="1" applyFill="1" applyBorder="1" applyAlignment="1">
      <alignment horizontal="right"/>
    </xf>
    <xf numFmtId="180" fontId="6" fillId="6" borderId="9" xfId="0" applyNumberFormat="1" applyFont="1" applyFill="1" applyBorder="1" applyAlignment="1">
      <alignment horizontal="right"/>
    </xf>
    <xf numFmtId="0" fontId="6" fillId="6" borderId="64" xfId="0" applyFont="1" applyFill="1" applyBorder="1"/>
    <xf numFmtId="0" fontId="6" fillId="6" borderId="113" xfId="0" applyFont="1" applyFill="1" applyBorder="1" applyAlignment="1">
      <alignment horizontal="center" vertical="center"/>
    </xf>
    <xf numFmtId="0" fontId="40" fillId="2" borderId="1" xfId="0" applyFont="1" applyFill="1" applyBorder="1" applyAlignment="1">
      <alignment horizontal="center" vertical="center" wrapText="1"/>
    </xf>
    <xf numFmtId="0" fontId="6" fillId="0" borderId="0" xfId="0" applyFont="1" applyAlignment="1">
      <alignment horizontal="left" shrinkToFit="1"/>
    </xf>
    <xf numFmtId="0" fontId="6" fillId="2" borderId="0" xfId="0" applyFont="1" applyFill="1" applyAlignment="1">
      <alignment horizontal="center" vertical="center" wrapText="1"/>
    </xf>
    <xf numFmtId="0" fontId="6" fillId="2" borderId="65" xfId="0" applyFont="1" applyFill="1" applyBorder="1" applyAlignment="1">
      <alignment horizontal="center" vertical="center" wrapText="1"/>
    </xf>
    <xf numFmtId="0" fontId="6" fillId="6" borderId="86" xfId="0" applyFont="1" applyFill="1" applyBorder="1" applyAlignment="1">
      <alignment horizontal="center"/>
    </xf>
    <xf numFmtId="0" fontId="6" fillId="6" borderId="90" xfId="0" applyFont="1" applyFill="1" applyBorder="1" applyAlignment="1">
      <alignment horizontal="center" vertical="center" wrapText="1"/>
    </xf>
    <xf numFmtId="178" fontId="6" fillId="6" borderId="1" xfId="0" applyNumberFormat="1" applyFont="1" applyFill="1" applyBorder="1"/>
    <xf numFmtId="0" fontId="6" fillId="6" borderId="73" xfId="0" applyFont="1" applyFill="1" applyBorder="1" applyAlignment="1">
      <alignment horizontal="center" vertical="center" wrapText="1"/>
    </xf>
    <xf numFmtId="0" fontId="6" fillId="6" borderId="70" xfId="0" applyFont="1" applyFill="1" applyBorder="1" applyAlignment="1">
      <alignment horizontal="center" vertical="center"/>
    </xf>
    <xf numFmtId="178" fontId="6" fillId="6" borderId="1" xfId="0" applyNumberFormat="1" applyFont="1" applyFill="1" applyBorder="1" applyAlignment="1">
      <alignment horizontal="right"/>
    </xf>
    <xf numFmtId="0" fontId="11" fillId="6" borderId="0" xfId="0" applyFont="1" applyFill="1" applyAlignment="1">
      <alignment horizontal="center" vertical="center"/>
    </xf>
    <xf numFmtId="0" fontId="6" fillId="6" borderId="77" xfId="0" applyFont="1" applyFill="1" applyBorder="1" applyAlignment="1">
      <alignment horizontal="center" vertical="center"/>
    </xf>
    <xf numFmtId="0" fontId="6" fillId="6" borderId="73" xfId="0" applyFont="1" applyFill="1" applyBorder="1" applyAlignment="1">
      <alignment horizontal="center" vertical="center"/>
    </xf>
    <xf numFmtId="176" fontId="6" fillId="6" borderId="1" xfId="0" applyNumberFormat="1" applyFont="1" applyFill="1" applyBorder="1"/>
    <xf numFmtId="0" fontId="6" fillId="6" borderId="75" xfId="0" applyFont="1" applyFill="1" applyBorder="1" applyAlignment="1">
      <alignment horizontal="center" vertical="center" wrapText="1"/>
    </xf>
    <xf numFmtId="0" fontId="11" fillId="6" borderId="0" xfId="0" applyFont="1" applyFill="1"/>
    <xf numFmtId="0" fontId="11" fillId="6" borderId="0" xfId="0" applyFont="1" applyFill="1" applyAlignment="1">
      <alignment horizontal="center"/>
    </xf>
    <xf numFmtId="0" fontId="6" fillId="6" borderId="93" xfId="0" applyFont="1" applyFill="1" applyBorder="1" applyAlignment="1">
      <alignment horizontal="center"/>
    </xf>
    <xf numFmtId="0" fontId="6" fillId="6" borderId="95" xfId="0" applyFont="1" applyFill="1" applyBorder="1"/>
    <xf numFmtId="0" fontId="6" fillId="6" borderId="75" xfId="0" applyFont="1" applyFill="1" applyBorder="1" applyAlignment="1">
      <alignment horizontal="center"/>
    </xf>
    <xf numFmtId="0" fontId="6" fillId="6" borderId="79" xfId="0" applyFont="1" applyFill="1" applyBorder="1" applyAlignment="1">
      <alignment horizontal="center"/>
    </xf>
    <xf numFmtId="0" fontId="9" fillId="6" borderId="0" xfId="0" applyFont="1" applyFill="1" applyAlignment="1">
      <alignment horizontal="center" vertical="top" wrapText="1"/>
    </xf>
    <xf numFmtId="181" fontId="6" fillId="6" borderId="0" xfId="0" applyNumberFormat="1" applyFont="1" applyFill="1"/>
    <xf numFmtId="181" fontId="6" fillId="6" borderId="9" xfId="0" applyNumberFormat="1" applyFont="1" applyFill="1" applyBorder="1"/>
    <xf numFmtId="0" fontId="6" fillId="6" borderId="0" xfId="0" applyFont="1" applyFill="1" applyAlignment="1" applyProtection="1">
      <alignment vertical="top" wrapText="1"/>
      <protection locked="0"/>
    </xf>
    <xf numFmtId="0" fontId="6" fillId="6" borderId="0" xfId="0" applyFont="1" applyFill="1" applyAlignment="1">
      <alignment vertical="top" wrapText="1"/>
    </xf>
    <xf numFmtId="178" fontId="15" fillId="6" borderId="8" xfId="0" applyNumberFormat="1" applyFont="1" applyFill="1" applyBorder="1" applyAlignment="1">
      <alignment vertical="center"/>
    </xf>
    <xf numFmtId="0" fontId="6" fillId="6" borderId="0" xfId="0" applyFont="1" applyFill="1" applyAlignment="1" applyProtection="1">
      <alignment horizontal="center" vertical="center"/>
      <protection locked="0"/>
    </xf>
    <xf numFmtId="0" fontId="6" fillId="6" borderId="7" xfId="0" applyFont="1" applyFill="1" applyBorder="1" applyAlignment="1">
      <alignment horizontal="center" vertical="center"/>
    </xf>
    <xf numFmtId="0" fontId="6" fillId="6" borderId="34" xfId="0" applyFont="1" applyFill="1" applyBorder="1" applyAlignment="1">
      <alignment wrapText="1"/>
    </xf>
    <xf numFmtId="0" fontId="6" fillId="6" borderId="55" xfId="0" applyFont="1" applyFill="1" applyBorder="1" applyAlignment="1">
      <alignment vertical="center" wrapText="1"/>
    </xf>
    <xf numFmtId="0" fontId="6" fillId="6" borderId="63" xfId="0" applyFont="1" applyFill="1" applyBorder="1" applyAlignment="1">
      <alignment vertical="center" wrapText="1"/>
    </xf>
    <xf numFmtId="0" fontId="6" fillId="6" borderId="64" xfId="0" applyFont="1" applyFill="1" applyBorder="1" applyAlignment="1">
      <alignment vertical="center" wrapText="1"/>
    </xf>
    <xf numFmtId="0" fontId="6" fillId="6" borderId="45" xfId="0" applyFont="1" applyFill="1" applyBorder="1" applyAlignment="1">
      <alignment wrapText="1"/>
    </xf>
    <xf numFmtId="0" fontId="6" fillId="6" borderId="10" xfId="0" applyFont="1" applyFill="1" applyBorder="1" applyAlignment="1">
      <alignment wrapText="1"/>
    </xf>
    <xf numFmtId="0" fontId="6" fillId="6" borderId="5" xfId="0" applyFont="1" applyFill="1" applyBorder="1" applyAlignment="1">
      <alignment wrapText="1"/>
    </xf>
    <xf numFmtId="0" fontId="6" fillId="6" borderId="44" xfId="0" applyFont="1" applyFill="1" applyBorder="1" applyAlignment="1">
      <alignment wrapText="1"/>
    </xf>
    <xf numFmtId="0" fontId="6" fillId="6" borderId="17" xfId="0" applyFont="1" applyFill="1" applyBorder="1"/>
    <xf numFmtId="0" fontId="6" fillId="6" borderId="2" xfId="0" applyFont="1" applyFill="1" applyBorder="1"/>
    <xf numFmtId="0" fontId="6" fillId="6" borderId="0" xfId="0" applyFont="1" applyFill="1" applyAlignment="1" applyProtection="1">
      <alignment horizontal="center"/>
      <protection locked="0"/>
    </xf>
    <xf numFmtId="0" fontId="6" fillId="6" borderId="43" xfId="0" applyFont="1" applyFill="1" applyBorder="1" applyAlignment="1">
      <alignment wrapText="1"/>
    </xf>
    <xf numFmtId="0" fontId="6" fillId="6" borderId="11" xfId="0" applyFont="1" applyFill="1" applyBorder="1"/>
    <xf numFmtId="0" fontId="6" fillId="6" borderId="3" xfId="0" applyFont="1" applyFill="1" applyBorder="1"/>
    <xf numFmtId="0" fontId="6" fillId="6" borderId="66" xfId="0" applyFont="1" applyFill="1" applyBorder="1" applyAlignment="1">
      <alignment horizontal="center" vertical="center"/>
    </xf>
    <xf numFmtId="0" fontId="6" fillId="6" borderId="33" xfId="0" applyFont="1" applyFill="1" applyBorder="1" applyAlignment="1">
      <alignment horizontal="center" vertical="center"/>
    </xf>
    <xf numFmtId="0" fontId="6" fillId="6" borderId="104" xfId="0" applyFont="1" applyFill="1" applyBorder="1" applyAlignment="1">
      <alignment horizontal="center" vertical="center"/>
    </xf>
    <xf numFmtId="0" fontId="9" fillId="6" borderId="50" xfId="0" applyFont="1" applyFill="1" applyBorder="1"/>
    <xf numFmtId="0" fontId="15" fillId="6" borderId="13" xfId="0" applyFont="1" applyFill="1" applyBorder="1" applyAlignment="1" applyProtection="1">
      <alignment horizontal="center" vertical="center"/>
      <protection locked="0"/>
    </xf>
    <xf numFmtId="0" fontId="6" fillId="6" borderId="13" xfId="0" applyFont="1" applyFill="1" applyBorder="1" applyAlignment="1" applyProtection="1">
      <alignment horizontal="center" shrinkToFit="1"/>
      <protection locked="0"/>
    </xf>
    <xf numFmtId="0" fontId="15" fillId="6" borderId="0" xfId="0" applyFont="1" applyFill="1" applyAlignment="1" applyProtection="1">
      <alignment horizontal="center" vertical="center"/>
      <protection locked="0"/>
    </xf>
    <xf numFmtId="181" fontId="6" fillId="6" borderId="11" xfId="0" applyNumberFormat="1" applyFont="1" applyFill="1" applyBorder="1" applyAlignment="1">
      <alignment vertical="center"/>
    </xf>
    <xf numFmtId="181" fontId="6" fillId="6" borderId="9" xfId="0" applyNumberFormat="1" applyFont="1" applyFill="1" applyBorder="1" applyAlignment="1">
      <alignment vertical="center"/>
    </xf>
    <xf numFmtId="0" fontId="6" fillId="0" borderId="0" xfId="0" applyFont="1" applyAlignment="1">
      <alignment horizontal="center"/>
    </xf>
    <xf numFmtId="0" fontId="9" fillId="6" borderId="6" xfId="0" applyFont="1" applyFill="1" applyBorder="1"/>
    <xf numFmtId="178" fontId="15" fillId="6" borderId="50" xfId="0" applyNumberFormat="1" applyFont="1" applyFill="1" applyBorder="1" applyAlignment="1">
      <alignment vertical="center"/>
    </xf>
    <xf numFmtId="0" fontId="6" fillId="6" borderId="53" xfId="0" applyFont="1" applyFill="1" applyBorder="1" applyAlignment="1">
      <alignment horizontal="center" vertical="center"/>
    </xf>
    <xf numFmtId="0" fontId="6" fillId="6" borderId="3" xfId="0" applyFont="1" applyFill="1" applyBorder="1" applyAlignment="1">
      <alignment wrapText="1"/>
    </xf>
    <xf numFmtId="0" fontId="6" fillId="6" borderId="53" xfId="0" applyFont="1" applyFill="1" applyBorder="1" applyAlignment="1">
      <alignment wrapText="1"/>
    </xf>
    <xf numFmtId="0" fontId="6" fillId="6" borderId="19" xfId="0" applyFont="1" applyFill="1" applyBorder="1" applyAlignment="1">
      <alignment wrapText="1"/>
    </xf>
    <xf numFmtId="0" fontId="6" fillId="6" borderId="20" xfId="0" applyFont="1" applyFill="1" applyBorder="1" applyAlignment="1">
      <alignment wrapText="1"/>
    </xf>
    <xf numFmtId="0" fontId="6" fillId="6" borderId="1" xfId="0" applyFont="1" applyFill="1" applyBorder="1" applyAlignment="1">
      <alignment wrapText="1"/>
    </xf>
    <xf numFmtId="0" fontId="6" fillId="2" borderId="2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9" fillId="0" borderId="0" xfId="0" applyFont="1" applyAlignment="1">
      <alignment horizontal="left" vertical="center" wrapText="1"/>
    </xf>
    <xf numFmtId="0" fontId="6" fillId="0" borderId="0" xfId="0" applyFont="1" applyAlignment="1">
      <alignment horizontal="center" vertical="center" shrinkToFit="1"/>
    </xf>
    <xf numFmtId="178" fontId="7" fillId="0" borderId="0" xfId="0" applyNumberFormat="1" applyFont="1" applyAlignment="1">
      <alignment horizontal="center" vertical="center" wrapText="1"/>
    </xf>
    <xf numFmtId="0" fontId="6" fillId="0" borderId="0" xfId="0" applyFont="1" applyAlignment="1">
      <alignment shrinkToFit="1"/>
    </xf>
    <xf numFmtId="0" fontId="2" fillId="0" borderId="0" xfId="0" applyFont="1" applyAlignment="1">
      <alignment horizontal="center" vertical="center"/>
    </xf>
    <xf numFmtId="0" fontId="7" fillId="0" borderId="0" xfId="0" applyFont="1" applyAlignment="1">
      <alignment vertical="top" wrapText="1"/>
    </xf>
    <xf numFmtId="0" fontId="40" fillId="2" borderId="1" xfId="0" applyFont="1" applyFill="1" applyBorder="1" applyAlignment="1">
      <alignment vertical="center" wrapText="1"/>
    </xf>
    <xf numFmtId="0" fontId="43" fillId="2" borderId="1" xfId="0" applyFont="1" applyFill="1" applyBorder="1" applyAlignment="1">
      <alignment vertical="center" wrapText="1"/>
    </xf>
    <xf numFmtId="0" fontId="6" fillId="2" borderId="0" xfId="0" applyFont="1" applyFill="1" applyAlignment="1">
      <alignment wrapText="1"/>
    </xf>
    <xf numFmtId="0" fontId="15" fillId="0" borderId="61" xfId="0" applyFont="1" applyBorder="1" applyAlignment="1">
      <alignment vertical="top" wrapText="1"/>
    </xf>
    <xf numFmtId="0" fontId="6" fillId="6" borderId="2"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3" xfId="0" applyFont="1" applyFill="1" applyBorder="1" applyAlignment="1">
      <alignment horizontal="center" vertical="center"/>
    </xf>
    <xf numFmtId="181" fontId="6" fillId="6" borderId="2" xfId="0" applyNumberFormat="1" applyFont="1" applyFill="1" applyBorder="1" applyAlignment="1">
      <alignment horizontal="center" vertical="center"/>
    </xf>
    <xf numFmtId="181" fontId="6" fillId="6" borderId="56" xfId="0" applyNumberFormat="1" applyFont="1" applyFill="1" applyBorder="1" applyAlignment="1">
      <alignment horizontal="center" vertical="center"/>
    </xf>
    <xf numFmtId="181"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15" fillId="2" borderId="0" xfId="0" applyFont="1" applyFill="1" applyAlignment="1">
      <alignment vertical="center"/>
    </xf>
    <xf numFmtId="0" fontId="6" fillId="2" borderId="38" xfId="0" applyFont="1" applyFill="1" applyBorder="1" applyAlignment="1">
      <alignment horizontal="center" shrinkToFit="1"/>
    </xf>
    <xf numFmtId="0" fontId="6" fillId="0" borderId="38" xfId="0" applyFont="1" applyBorder="1"/>
    <xf numFmtId="0" fontId="6" fillId="2" borderId="38" xfId="0" applyFont="1" applyFill="1" applyBorder="1" applyAlignment="1" applyProtection="1">
      <alignment horizontal="center" shrinkToFit="1"/>
      <protection locked="0"/>
    </xf>
    <xf numFmtId="0" fontId="6" fillId="2" borderId="12" xfId="0" applyFont="1" applyFill="1" applyBorder="1" applyAlignment="1">
      <alignment horizontal="center" vertical="center"/>
    </xf>
    <xf numFmtId="0" fontId="3" fillId="6" borderId="82" xfId="0" applyFont="1" applyFill="1" applyBorder="1" applyAlignment="1">
      <alignment wrapText="1"/>
    </xf>
    <xf numFmtId="0" fontId="6" fillId="2" borderId="61" xfId="0" applyFont="1" applyFill="1" applyBorder="1" applyAlignment="1">
      <alignment vertical="center" wrapText="1"/>
    </xf>
    <xf numFmtId="0" fontId="2" fillId="0" borderId="0" xfId="0" applyFont="1"/>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applyAlignment="1">
      <alignment vertical="center" wrapText="1"/>
    </xf>
    <xf numFmtId="0" fontId="0" fillId="0" borderId="0" xfId="0" applyAlignment="1">
      <alignment horizontal="right"/>
    </xf>
    <xf numFmtId="0" fontId="6" fillId="0" borderId="0" xfId="0" applyFont="1" applyAlignment="1" applyProtection="1">
      <alignment horizontal="left" vertical="top" wrapText="1"/>
      <protection locked="0"/>
    </xf>
    <xf numFmtId="0" fontId="6" fillId="6" borderId="82" xfId="0" applyFont="1" applyFill="1" applyBorder="1" applyAlignment="1">
      <alignment wrapText="1"/>
    </xf>
    <xf numFmtId="0" fontId="15" fillId="0" borderId="65" xfId="0" applyFont="1" applyBorder="1" applyAlignment="1">
      <alignment horizontal="center" vertical="center" wrapText="1"/>
    </xf>
    <xf numFmtId="0" fontId="15" fillId="0" borderId="122" xfId="0" applyFont="1" applyBorder="1" applyAlignment="1">
      <alignment horizontal="center" vertical="center" wrapText="1"/>
    </xf>
    <xf numFmtId="0" fontId="15" fillId="0" borderId="27" xfId="0" applyFont="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center"/>
    </xf>
    <xf numFmtId="0" fontId="9" fillId="2" borderId="27" xfId="0" applyFont="1" applyFill="1" applyBorder="1" applyAlignment="1">
      <alignment horizontal="right" vertical="center" wrapText="1"/>
    </xf>
    <xf numFmtId="0" fontId="9" fillId="2" borderId="27" xfId="0" applyFont="1" applyFill="1" applyBorder="1" applyAlignment="1">
      <alignment horizontal="left" vertical="center" wrapText="1"/>
    </xf>
    <xf numFmtId="0" fontId="0" fillId="0" borderId="0" xfId="0" applyAlignment="1">
      <alignment vertical="top" wrapText="1"/>
    </xf>
    <xf numFmtId="0" fontId="3" fillId="6" borderId="0" xfId="0" applyFont="1" applyFill="1" applyAlignment="1">
      <alignment shrinkToFit="1"/>
    </xf>
    <xf numFmtId="184" fontId="0" fillId="0" borderId="1" xfId="0" applyNumberFormat="1" applyBorder="1"/>
    <xf numFmtId="184" fontId="0" fillId="0" borderId="1" xfId="0" applyNumberFormat="1" applyBorder="1" applyAlignment="1">
      <alignment vertical="center"/>
    </xf>
    <xf numFmtId="184" fontId="0" fillId="0" borderId="0" xfId="0" applyNumberFormat="1"/>
    <xf numFmtId="0" fontId="6" fillId="2" borderId="0" xfId="0" applyFont="1" applyFill="1" applyAlignment="1">
      <alignment horizontal="left"/>
    </xf>
    <xf numFmtId="184" fontId="0" fillId="0" borderId="1" xfId="0" applyNumberFormat="1" applyBorder="1" applyAlignment="1">
      <alignment horizontal="right" vertical="center"/>
    </xf>
    <xf numFmtId="0" fontId="38" fillId="0" borderId="0" xfId="0" applyFont="1" applyAlignment="1">
      <alignment horizontal="center" vertical="center" shrinkToFit="1"/>
    </xf>
    <xf numFmtId="0" fontId="6" fillId="6" borderId="87" xfId="0" applyFont="1" applyFill="1" applyBorder="1" applyAlignment="1">
      <alignment horizontal="center" wrapText="1"/>
    </xf>
    <xf numFmtId="0" fontId="6" fillId="6" borderId="88" xfId="0" applyFont="1" applyFill="1" applyBorder="1" applyAlignment="1">
      <alignment horizontal="center" wrapText="1"/>
    </xf>
    <xf numFmtId="0" fontId="6" fillId="6" borderId="20" xfId="0" applyFont="1" applyFill="1" applyBorder="1" applyAlignment="1">
      <alignment horizontal="center"/>
    </xf>
    <xf numFmtId="0" fontId="6" fillId="6" borderId="127" xfId="0" applyFont="1" applyFill="1" applyBorder="1" applyAlignment="1">
      <alignment horizontal="center"/>
    </xf>
    <xf numFmtId="177" fontId="6" fillId="6" borderId="128" xfId="0" applyNumberFormat="1" applyFont="1" applyFill="1" applyBorder="1" applyAlignment="1">
      <alignment horizontal="center" wrapText="1"/>
    </xf>
    <xf numFmtId="177" fontId="6" fillId="6" borderId="33" xfId="0" applyNumberFormat="1" applyFont="1" applyFill="1" applyBorder="1" applyAlignment="1">
      <alignment horizontal="center" wrapText="1"/>
    </xf>
    <xf numFmtId="0" fontId="6" fillId="6" borderId="91" xfId="0" applyFont="1" applyFill="1" applyBorder="1" applyAlignment="1">
      <alignment horizontal="center"/>
    </xf>
    <xf numFmtId="0" fontId="6" fillId="6" borderId="92" xfId="0" applyFont="1" applyFill="1" applyBorder="1" applyAlignment="1">
      <alignment horizontal="center"/>
    </xf>
    <xf numFmtId="0" fontId="6" fillId="6" borderId="1" xfId="0" applyFont="1" applyFill="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58" fontId="0" fillId="3" borderId="63" xfId="0" applyNumberFormat="1" applyFill="1" applyBorder="1" applyAlignment="1" applyProtection="1">
      <alignment horizontal="center"/>
      <protection locked="0"/>
    </xf>
    <xf numFmtId="0" fontId="0" fillId="3" borderId="63" xfId="0" applyFill="1" applyBorder="1" applyAlignment="1" applyProtection="1">
      <alignment horizontal="center"/>
      <protection locked="0"/>
    </xf>
    <xf numFmtId="0" fontId="0" fillId="3" borderId="55" xfId="0" applyFill="1" applyBorder="1" applyAlignment="1" applyProtection="1">
      <alignment horizontal="center"/>
      <protection locked="0"/>
    </xf>
    <xf numFmtId="0" fontId="0" fillId="3" borderId="63" xfId="0" applyFill="1" applyBorder="1" applyAlignment="1" applyProtection="1">
      <alignment horizontal="center" shrinkToFit="1"/>
      <protection locked="0"/>
    </xf>
    <xf numFmtId="0" fontId="0" fillId="3" borderId="64" xfId="0" applyFill="1" applyBorder="1" applyAlignment="1" applyProtection="1">
      <alignment horizontal="center" shrinkToFit="1"/>
      <protection locked="0"/>
    </xf>
    <xf numFmtId="0" fontId="3" fillId="6" borderId="82" xfId="0" applyFont="1" applyFill="1" applyBorder="1" applyAlignment="1">
      <alignment horizontal="center"/>
    </xf>
    <xf numFmtId="0" fontId="3" fillId="6" borderId="78" xfId="0" applyFont="1" applyFill="1" applyBorder="1" applyAlignment="1">
      <alignment horizontal="center"/>
    </xf>
    <xf numFmtId="0" fontId="6" fillId="0" borderId="62" xfId="0" applyFont="1" applyBorder="1" applyAlignment="1">
      <alignment horizontal="center" shrinkToFit="1"/>
    </xf>
    <xf numFmtId="0" fontId="6" fillId="0" borderId="63" xfId="0" applyFont="1" applyBorder="1" applyAlignment="1">
      <alignment horizontal="center" shrinkToFit="1"/>
    </xf>
    <xf numFmtId="0" fontId="6" fillId="3" borderId="55" xfId="0" applyFont="1" applyFill="1" applyBorder="1" applyAlignment="1" applyProtection="1">
      <alignment horizontal="center" shrinkToFit="1"/>
      <protection locked="0"/>
    </xf>
    <xf numFmtId="0" fontId="6" fillId="3" borderId="38" xfId="0" applyFont="1" applyFill="1" applyBorder="1" applyAlignment="1" applyProtection="1">
      <alignment horizontal="center" shrinkToFit="1"/>
      <protection locked="0"/>
    </xf>
    <xf numFmtId="0" fontId="6" fillId="3" borderId="54" xfId="0" applyFont="1" applyFill="1" applyBorder="1" applyAlignment="1" applyProtection="1">
      <alignment horizontal="center" shrinkToFit="1"/>
      <protection locked="0"/>
    </xf>
    <xf numFmtId="0" fontId="6" fillId="2" borderId="55" xfId="0" applyFont="1" applyFill="1" applyBorder="1" applyAlignment="1">
      <alignment horizontal="center" shrinkToFit="1"/>
    </xf>
    <xf numFmtId="0" fontId="6" fillId="2" borderId="38" xfId="0" applyFont="1" applyFill="1" applyBorder="1" applyAlignment="1">
      <alignment horizontal="center" shrinkToFit="1"/>
    </xf>
    <xf numFmtId="0" fontId="6" fillId="3" borderId="38" xfId="0" applyFont="1" applyFill="1" applyBorder="1" applyAlignment="1" applyProtection="1">
      <alignment horizontal="center"/>
      <protection locked="0"/>
    </xf>
    <xf numFmtId="0" fontId="6" fillId="2" borderId="38" xfId="0" applyFont="1" applyFill="1" applyBorder="1" applyAlignment="1">
      <alignment horizontal="center"/>
    </xf>
    <xf numFmtId="0" fontId="0" fillId="0" borderId="0" xfId="0" applyAlignment="1">
      <alignment horizontal="center"/>
    </xf>
    <xf numFmtId="181" fontId="6" fillId="6" borderId="129" xfId="0" applyNumberFormat="1" applyFont="1" applyFill="1" applyBorder="1" applyAlignment="1">
      <alignment horizontal="center"/>
    </xf>
    <xf numFmtId="181" fontId="6" fillId="6" borderId="66" xfId="0" applyNumberFormat="1" applyFont="1" applyFill="1" applyBorder="1" applyAlignment="1">
      <alignment horizontal="center"/>
    </xf>
    <xf numFmtId="0" fontId="6" fillId="3" borderId="54" xfId="0" applyFont="1" applyFill="1" applyBorder="1" applyAlignment="1" applyProtection="1">
      <alignment horizontal="center"/>
      <protection locked="0"/>
    </xf>
    <xf numFmtId="0" fontId="15" fillId="0" borderId="55" xfId="0" applyFont="1" applyBorder="1" applyAlignment="1">
      <alignment horizontal="center" vertical="center"/>
    </xf>
    <xf numFmtId="0" fontId="15" fillId="0" borderId="54"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5" fillId="3" borderId="68" xfId="0" applyFont="1" applyFill="1" applyBorder="1" applyAlignment="1" applyProtection="1">
      <alignment horizontal="center" vertical="center"/>
      <protection locked="0"/>
    </xf>
    <xf numFmtId="0" fontId="6" fillId="6" borderId="89" xfId="0" applyFont="1" applyFill="1" applyBorder="1" applyAlignment="1">
      <alignment horizontal="center"/>
    </xf>
    <xf numFmtId="0" fontId="6" fillId="6" borderId="74" xfId="0" applyFont="1" applyFill="1" applyBorder="1" applyAlignment="1">
      <alignment horizontal="center"/>
    </xf>
    <xf numFmtId="0" fontId="6" fillId="3" borderId="68" xfId="0" applyFont="1" applyFill="1" applyBorder="1" applyAlignment="1" applyProtection="1">
      <alignment horizontal="center"/>
      <protection locked="0"/>
    </xf>
    <xf numFmtId="0" fontId="6" fillId="6" borderId="90" xfId="0" applyFont="1" applyFill="1" applyBorder="1" applyAlignment="1">
      <alignment horizontal="center" vertical="center" wrapText="1"/>
    </xf>
    <xf numFmtId="0" fontId="6" fillId="6" borderId="79" xfId="0" applyFont="1" applyFill="1" applyBorder="1" applyAlignment="1">
      <alignment horizontal="center" vertical="center" wrapText="1"/>
    </xf>
    <xf numFmtId="0" fontId="6" fillId="6" borderId="44" xfId="0" applyFont="1" applyFill="1" applyBorder="1" applyAlignment="1">
      <alignment horizontal="left" vertical="center"/>
    </xf>
    <xf numFmtId="0" fontId="6" fillId="6" borderId="119" xfId="0" applyFont="1" applyFill="1" applyBorder="1" applyAlignment="1">
      <alignment horizontal="left" vertical="center"/>
    </xf>
    <xf numFmtId="0" fontId="6" fillId="6" borderId="46" xfId="0" applyFont="1" applyFill="1" applyBorder="1" applyAlignment="1">
      <alignment horizontal="left" vertical="center"/>
    </xf>
    <xf numFmtId="0" fontId="6" fillId="6" borderId="51" xfId="0" applyFont="1" applyFill="1" applyBorder="1" applyAlignment="1">
      <alignment horizontal="left" vertical="center"/>
    </xf>
    <xf numFmtId="0" fontId="3" fillId="6" borderId="83" xfId="0" applyFont="1" applyFill="1" applyBorder="1" applyAlignment="1">
      <alignment horizontal="center"/>
    </xf>
    <xf numFmtId="0" fontId="3" fillId="6" borderId="80" xfId="0" applyFont="1" applyFill="1" applyBorder="1" applyAlignment="1">
      <alignment horizontal="center"/>
    </xf>
    <xf numFmtId="0" fontId="6" fillId="6" borderId="102" xfId="0" applyFont="1" applyFill="1" applyBorder="1" applyAlignment="1">
      <alignment horizontal="center"/>
    </xf>
    <xf numFmtId="0" fontId="6" fillId="6" borderId="103" xfId="0" applyFont="1" applyFill="1" applyBorder="1" applyAlignment="1">
      <alignment horizontal="center"/>
    </xf>
    <xf numFmtId="0" fontId="6" fillId="6" borderId="1" xfId="0" applyFont="1" applyFill="1" applyBorder="1" applyAlignment="1">
      <alignment horizontal="center"/>
    </xf>
    <xf numFmtId="181" fontId="6" fillId="6" borderId="84" xfId="0" applyNumberFormat="1" applyFont="1" applyFill="1" applyBorder="1" applyAlignment="1">
      <alignment horizontal="center"/>
    </xf>
    <xf numFmtId="181" fontId="6" fillId="6" borderId="85" xfId="0" applyNumberFormat="1" applyFont="1" applyFill="1" applyBorder="1" applyAlignment="1">
      <alignment horizontal="center"/>
    </xf>
    <xf numFmtId="181" fontId="6" fillId="6" borderId="82" xfId="0" applyNumberFormat="1" applyFont="1" applyFill="1" applyBorder="1" applyAlignment="1">
      <alignment horizontal="center"/>
    </xf>
    <xf numFmtId="181" fontId="6" fillId="6" borderId="78" xfId="0" applyNumberFormat="1" applyFont="1" applyFill="1" applyBorder="1" applyAlignment="1">
      <alignment horizontal="center"/>
    </xf>
    <xf numFmtId="181" fontId="6" fillId="6" borderId="89" xfId="0" applyNumberFormat="1" applyFont="1" applyFill="1" applyBorder="1" applyAlignment="1">
      <alignment horizontal="center"/>
    </xf>
    <xf numFmtId="181" fontId="6" fillId="6" borderId="74" xfId="0" applyNumberFormat="1" applyFont="1" applyFill="1" applyBorder="1" applyAlignment="1">
      <alignment horizontal="center"/>
    </xf>
    <xf numFmtId="181" fontId="6" fillId="6" borderId="123" xfId="0" applyNumberFormat="1" applyFont="1" applyFill="1" applyBorder="1" applyAlignment="1">
      <alignment horizontal="center"/>
    </xf>
    <xf numFmtId="181" fontId="6" fillId="6" borderId="114" xfId="0" applyNumberFormat="1" applyFont="1" applyFill="1" applyBorder="1" applyAlignment="1">
      <alignment horizontal="center"/>
    </xf>
    <xf numFmtId="0" fontId="6" fillId="6" borderId="0" xfId="0" applyFont="1" applyFill="1" applyAlignment="1">
      <alignment horizontal="center"/>
    </xf>
    <xf numFmtId="0" fontId="0" fillId="0" borderId="16" xfId="0" applyBorder="1" applyAlignment="1">
      <alignment horizontal="center" vertical="center"/>
    </xf>
    <xf numFmtId="0" fontId="0" fillId="0" borderId="65" xfId="0" applyBorder="1" applyAlignment="1">
      <alignment horizontal="center" vertical="center"/>
    </xf>
    <xf numFmtId="177" fontId="0" fillId="3" borderId="16" xfId="0" applyNumberFormat="1" applyFill="1" applyBorder="1" applyAlignment="1" applyProtection="1">
      <alignment horizontal="center" vertical="center"/>
      <protection locked="0"/>
    </xf>
    <xf numFmtId="177" fontId="0" fillId="3" borderId="65" xfId="0" applyNumberFormat="1" applyFill="1" applyBorder="1" applyAlignment="1" applyProtection="1">
      <alignment horizontal="center" vertical="center"/>
      <protection locked="0"/>
    </xf>
    <xf numFmtId="0" fontId="6" fillId="0" borderId="50" xfId="0" applyFont="1" applyBorder="1" applyAlignment="1">
      <alignment horizontal="left"/>
    </xf>
    <xf numFmtId="0" fontId="6" fillId="0" borderId="3" xfId="0" applyFont="1" applyBorder="1" applyAlignment="1">
      <alignment horizontal="left"/>
    </xf>
    <xf numFmtId="0" fontId="6" fillId="0" borderId="53" xfId="0" applyFont="1" applyBorder="1" applyAlignment="1">
      <alignment horizontal="left"/>
    </xf>
    <xf numFmtId="0" fontId="0" fillId="0" borderId="20" xfId="0" applyBorder="1" applyAlignment="1">
      <alignment horizontal="center" vertical="center"/>
    </xf>
    <xf numFmtId="0" fontId="0" fillId="0" borderId="25" xfId="0" applyBorder="1" applyAlignment="1">
      <alignment horizontal="center" vertical="center"/>
    </xf>
    <xf numFmtId="177" fontId="0" fillId="3" borderId="20" xfId="0" applyNumberFormat="1" applyFill="1" applyBorder="1" applyAlignment="1" applyProtection="1">
      <alignment horizontal="center" vertical="center"/>
      <protection locked="0"/>
    </xf>
    <xf numFmtId="177" fontId="0" fillId="3" borderId="25" xfId="0" applyNumberFormat="1" applyFill="1" applyBorder="1" applyAlignment="1" applyProtection="1">
      <alignment horizontal="center" vertical="center"/>
      <protection locked="0"/>
    </xf>
    <xf numFmtId="0" fontId="6" fillId="0" borderId="6" xfId="0" applyFont="1" applyBorder="1" applyAlignment="1">
      <alignment horizontal="left"/>
    </xf>
    <xf numFmtId="0" fontId="6" fillId="0" borderId="1" xfId="0" applyFont="1" applyBorder="1" applyAlignment="1">
      <alignment horizontal="left"/>
    </xf>
    <xf numFmtId="0" fontId="6" fillId="0" borderId="7" xfId="0" applyFont="1" applyBorder="1" applyAlignment="1">
      <alignment horizontal="left"/>
    </xf>
    <xf numFmtId="0" fontId="15" fillId="6" borderId="133" xfId="0" applyFont="1" applyFill="1" applyBorder="1" applyAlignment="1">
      <alignment horizontal="center" wrapText="1"/>
    </xf>
    <xf numFmtId="0" fontId="15" fillId="6" borderId="124" xfId="0" applyFont="1" applyFill="1" applyBorder="1" applyAlignment="1">
      <alignment horizontal="center" wrapText="1"/>
    </xf>
    <xf numFmtId="0" fontId="6" fillId="6" borderId="136" xfId="0" applyFont="1" applyFill="1" applyBorder="1" applyAlignment="1">
      <alignment horizontal="center" vertical="center"/>
    </xf>
    <xf numFmtId="0" fontId="6" fillId="6" borderId="113" xfId="0" applyFont="1" applyFill="1" applyBorder="1" applyAlignment="1">
      <alignment horizontal="center" vertical="center"/>
    </xf>
    <xf numFmtId="0" fontId="6" fillId="0" borderId="20" xfId="0" applyFont="1" applyBorder="1" applyAlignment="1">
      <alignment horizontal="center" vertical="center"/>
    </xf>
    <xf numFmtId="0" fontId="6" fillId="0" borderId="25" xfId="0" applyFont="1" applyBorder="1" applyAlignment="1">
      <alignment horizontal="center" vertical="center"/>
    </xf>
    <xf numFmtId="0" fontId="6" fillId="0" borderId="33" xfId="0" applyFont="1" applyBorder="1" applyAlignment="1">
      <alignment horizontal="center" vertical="center"/>
    </xf>
    <xf numFmtId="0" fontId="0" fillId="0" borderId="34" xfId="0" applyBorder="1" applyAlignment="1">
      <alignment horizontal="center"/>
    </xf>
    <xf numFmtId="0" fontId="0" fillId="0" borderId="38" xfId="0" applyBorder="1" applyAlignment="1">
      <alignment horizontal="center"/>
    </xf>
    <xf numFmtId="0" fontId="0" fillId="0" borderId="68" xfId="0" applyBorder="1" applyAlignment="1">
      <alignment horizontal="center"/>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0" fillId="0" borderId="64" xfId="0" applyBorder="1" applyAlignment="1">
      <alignment horizontal="center"/>
    </xf>
    <xf numFmtId="0" fontId="15" fillId="6" borderId="70" xfId="0" applyFont="1" applyFill="1" applyBorder="1" applyAlignment="1">
      <alignment horizontal="center" wrapText="1"/>
    </xf>
    <xf numFmtId="0" fontId="6" fillId="6" borderId="118" xfId="0" applyFont="1" applyFill="1" applyBorder="1" applyAlignment="1">
      <alignment horizontal="center" vertical="center"/>
    </xf>
    <xf numFmtId="177" fontId="6" fillId="3" borderId="20" xfId="0" applyNumberFormat="1" applyFont="1" applyFill="1" applyBorder="1" applyAlignment="1" applyProtection="1">
      <alignment horizontal="center" vertical="center"/>
      <protection locked="0"/>
    </xf>
    <xf numFmtId="177" fontId="6" fillId="3" borderId="25" xfId="0" applyNumberFormat="1" applyFont="1" applyFill="1" applyBorder="1" applyAlignment="1" applyProtection="1">
      <alignment horizontal="center" vertical="center"/>
      <protection locked="0"/>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6" fillId="0" borderId="20" xfId="1" applyFont="1" applyFill="1" applyBorder="1" applyAlignment="1" applyProtection="1">
      <alignment horizontal="center" vertical="center"/>
    </xf>
    <xf numFmtId="0" fontId="6" fillId="0" borderId="25" xfId="1" applyFont="1" applyFill="1" applyBorder="1" applyAlignment="1" applyProtection="1">
      <alignment horizontal="center" vertical="center"/>
    </xf>
    <xf numFmtId="0" fontId="6" fillId="3" borderId="20" xfId="0" applyFont="1" applyFill="1" applyBorder="1" applyAlignment="1" applyProtection="1">
      <alignment horizontal="center" vertical="center"/>
      <protection locked="0"/>
    </xf>
    <xf numFmtId="178" fontId="6" fillId="3" borderId="25" xfId="0" applyNumberFormat="1" applyFont="1" applyFill="1" applyBorder="1" applyAlignment="1" applyProtection="1">
      <alignment horizontal="center" vertical="center"/>
      <protection locked="0"/>
    </xf>
    <xf numFmtId="0" fontId="15" fillId="0" borderId="6" xfId="0" applyFont="1" applyBorder="1" applyAlignment="1">
      <alignment horizontal="left" shrinkToFit="1"/>
    </xf>
    <xf numFmtId="0" fontId="15" fillId="0" borderId="1" xfId="0" applyFont="1" applyBorder="1" applyAlignment="1">
      <alignment horizontal="left" shrinkToFit="1"/>
    </xf>
    <xf numFmtId="0" fontId="15" fillId="0" borderId="7" xfId="0" applyFont="1" applyBorder="1" applyAlignment="1">
      <alignment horizontal="left" shrinkToFit="1"/>
    </xf>
    <xf numFmtId="0" fontId="6" fillId="3" borderId="25" xfId="0" applyFont="1" applyFill="1" applyBorder="1" applyAlignment="1" applyProtection="1">
      <alignment horizontal="center" vertical="center"/>
      <protection locked="0"/>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6" borderId="93" xfId="0" applyFont="1" applyFill="1" applyBorder="1" applyAlignment="1">
      <alignment horizontal="center" vertical="center"/>
    </xf>
    <xf numFmtId="0" fontId="6" fillId="6" borderId="94" xfId="0" applyFont="1" applyFill="1" applyBorder="1" applyAlignment="1">
      <alignment horizontal="center" vertical="center"/>
    </xf>
    <xf numFmtId="0" fontId="6" fillId="6" borderId="69" xfId="0" applyFont="1" applyFill="1" applyBorder="1" applyAlignment="1">
      <alignment horizontal="center" vertical="center"/>
    </xf>
    <xf numFmtId="0" fontId="6" fillId="0" borderId="33"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61" xfId="1" applyFont="1" applyFill="1" applyBorder="1" applyAlignment="1" applyProtection="1">
      <alignment horizontal="center" vertical="center"/>
    </xf>
    <xf numFmtId="0" fontId="6" fillId="0" borderId="67" xfId="1" applyFont="1" applyFill="1" applyBorder="1" applyAlignment="1" applyProtection="1">
      <alignment horizontal="center" vertical="center"/>
    </xf>
    <xf numFmtId="0" fontId="6" fillId="3" borderId="2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0" borderId="6"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6" borderId="82" xfId="0" applyFont="1" applyFill="1" applyBorder="1" applyAlignment="1">
      <alignment horizontal="center"/>
    </xf>
    <xf numFmtId="0" fontId="6" fillId="6" borderId="78" xfId="0" applyFont="1" applyFill="1" applyBorder="1" applyAlignment="1">
      <alignment horizontal="center"/>
    </xf>
    <xf numFmtId="176" fontId="0" fillId="3" borderId="20" xfId="0" applyNumberFormat="1" applyFill="1" applyBorder="1" applyAlignment="1" applyProtection="1">
      <alignment horizontal="center" vertical="center"/>
      <protection locked="0"/>
    </xf>
    <xf numFmtId="176" fontId="0" fillId="3" borderId="25" xfId="0" applyNumberFormat="1" applyFill="1" applyBorder="1" applyAlignment="1" applyProtection="1">
      <alignment horizontal="center" vertical="center"/>
      <protection locked="0"/>
    </xf>
    <xf numFmtId="0" fontId="6" fillId="0" borderId="6" xfId="0" applyFont="1" applyBorder="1" applyAlignment="1">
      <alignment horizontal="left" shrinkToFit="1"/>
    </xf>
    <xf numFmtId="0" fontId="6" fillId="0" borderId="1" xfId="0" applyFont="1" applyBorder="1" applyAlignment="1">
      <alignment horizontal="left" shrinkToFit="1"/>
    </xf>
    <xf numFmtId="0" fontId="6" fillId="0" borderId="7" xfId="0" applyFont="1" applyBorder="1" applyAlignment="1">
      <alignment horizontal="left" shrinkToFit="1"/>
    </xf>
    <xf numFmtId="0" fontId="6" fillId="6" borderId="90" xfId="0" applyFont="1" applyFill="1" applyBorder="1" applyAlignment="1">
      <alignment horizontal="center" vertical="center"/>
    </xf>
    <xf numFmtId="0" fontId="6" fillId="6" borderId="73" xfId="0" applyFont="1" applyFill="1" applyBorder="1" applyAlignment="1">
      <alignment horizontal="center" vertical="center"/>
    </xf>
    <xf numFmtId="0" fontId="0" fillId="3" borderId="20" xfId="0" applyFill="1" applyBorder="1" applyAlignment="1" applyProtection="1">
      <alignment horizontal="center" shrinkToFit="1"/>
      <protection locked="0"/>
    </xf>
    <xf numFmtId="0" fontId="0" fillId="3" borderId="25" xfId="0" applyFill="1" applyBorder="1" applyAlignment="1" applyProtection="1">
      <alignment horizontal="center" shrinkToFit="1"/>
      <protection locked="0"/>
    </xf>
    <xf numFmtId="0" fontId="6" fillId="6" borderId="81" xfId="0" applyFont="1" applyFill="1" applyBorder="1" applyAlignment="1">
      <alignment horizontal="center" wrapText="1"/>
    </xf>
    <xf numFmtId="0" fontId="6" fillId="6" borderId="76" xfId="0" applyFont="1" applyFill="1" applyBorder="1" applyAlignment="1">
      <alignment horizontal="center" wrapText="1"/>
    </xf>
    <xf numFmtId="0" fontId="0" fillId="3" borderId="20"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6" fillId="0" borderId="29" xfId="0" applyFont="1" applyBorder="1" applyAlignment="1">
      <alignment horizontal="left" shrinkToFit="1"/>
    </xf>
    <xf numFmtId="0" fontId="6" fillId="0" borderId="0" xfId="0" applyFont="1" applyAlignment="1">
      <alignment horizontal="left" shrinkToFit="1"/>
    </xf>
    <xf numFmtId="0" fontId="6" fillId="0" borderId="36" xfId="0" applyFont="1" applyBorder="1" applyAlignment="1">
      <alignment horizontal="left" shrinkToFit="1"/>
    </xf>
    <xf numFmtId="0" fontId="6" fillId="6" borderId="83" xfId="0" applyFont="1" applyFill="1" applyBorder="1" applyAlignment="1">
      <alignment horizontal="center"/>
    </xf>
    <xf numFmtId="0" fontId="6" fillId="6" borderId="80" xfId="0" applyFont="1" applyFill="1" applyBorder="1" applyAlignment="1">
      <alignment horizontal="center"/>
    </xf>
    <xf numFmtId="178" fontId="6" fillId="3" borderId="20" xfId="0" applyNumberFormat="1" applyFont="1" applyFill="1" applyBorder="1" applyAlignment="1" applyProtection="1">
      <alignment horizontal="center" vertical="center"/>
      <protection locked="0"/>
    </xf>
    <xf numFmtId="0" fontId="6" fillId="0" borderId="20" xfId="0" applyFont="1" applyBorder="1" applyAlignment="1">
      <alignment horizontal="center" shrinkToFit="1"/>
    </xf>
    <xf numFmtId="0" fontId="6" fillId="0" borderId="25" xfId="0" applyFont="1" applyBorder="1" applyAlignment="1">
      <alignment horizontal="center" shrinkToFit="1"/>
    </xf>
    <xf numFmtId="183" fontId="6" fillId="4" borderId="25" xfId="0" applyNumberFormat="1" applyFont="1" applyFill="1" applyBorder="1" applyAlignment="1">
      <alignment horizontal="center" shrinkToFit="1"/>
    </xf>
    <xf numFmtId="0" fontId="6" fillId="0" borderId="33" xfId="0" applyFont="1" applyBorder="1" applyAlignment="1">
      <alignment horizontal="center" shrinkToFit="1"/>
    </xf>
    <xf numFmtId="0" fontId="6" fillId="6" borderId="95" xfId="0" applyFont="1" applyFill="1" applyBorder="1" applyAlignment="1">
      <alignment horizontal="center"/>
    </xf>
    <xf numFmtId="0" fontId="6" fillId="6" borderId="96" xfId="0" applyFont="1" applyFill="1" applyBorder="1" applyAlignment="1">
      <alignment horizontal="center"/>
    </xf>
    <xf numFmtId="0" fontId="15" fillId="0" borderId="12"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127" xfId="0" applyFont="1" applyBorder="1" applyAlignment="1">
      <alignment horizontal="center" vertical="center" shrinkToFit="1"/>
    </xf>
    <xf numFmtId="0" fontId="6" fillId="0" borderId="128" xfId="0" applyFont="1" applyBorder="1" applyAlignment="1">
      <alignment horizontal="center" vertical="center"/>
    </xf>
    <xf numFmtId="0" fontId="9" fillId="0" borderId="1" xfId="0" applyFont="1" applyBorder="1" applyAlignment="1">
      <alignment horizontal="center" vertical="top" wrapText="1"/>
    </xf>
    <xf numFmtId="0" fontId="6" fillId="3" borderId="12" xfId="0" applyFont="1" applyFill="1" applyBorder="1" applyAlignment="1" applyProtection="1">
      <alignment horizontal="center" vertical="top" wrapText="1"/>
      <protection locked="0"/>
    </xf>
    <xf numFmtId="0" fontId="6" fillId="3" borderId="25" xfId="0" applyFont="1" applyFill="1" applyBorder="1" applyAlignment="1" applyProtection="1">
      <alignment horizontal="center" vertical="top" wrapText="1"/>
      <protection locked="0"/>
    </xf>
    <xf numFmtId="0" fontId="6" fillId="3" borderId="127" xfId="0" applyFont="1" applyFill="1" applyBorder="1" applyAlignment="1" applyProtection="1">
      <alignment horizontal="center" vertical="top" wrapText="1"/>
      <protection locked="0"/>
    </xf>
    <xf numFmtId="0" fontId="6" fillId="3" borderId="131" xfId="0" applyFont="1" applyFill="1" applyBorder="1" applyAlignment="1" applyProtection="1">
      <alignment horizontal="center" vertical="top" wrapText="1"/>
      <protection locked="0"/>
    </xf>
    <xf numFmtId="0" fontId="6" fillId="3" borderId="131" xfId="0" applyFont="1" applyFill="1" applyBorder="1" applyAlignment="1" applyProtection="1">
      <alignment horizontal="center" shrinkToFit="1"/>
      <protection locked="0"/>
    </xf>
    <xf numFmtId="0" fontId="6" fillId="3" borderId="132" xfId="0" applyFont="1" applyFill="1" applyBorder="1" applyAlignment="1" applyProtection="1">
      <alignment horizontal="center" shrinkToFit="1"/>
      <protection locked="0"/>
    </xf>
    <xf numFmtId="0" fontId="15" fillId="0" borderId="21"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29"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65" xfId="0" applyFont="1" applyFill="1" applyBorder="1" applyAlignment="1" applyProtection="1">
      <alignment horizontal="center" vertical="center" wrapText="1"/>
      <protection locked="0"/>
    </xf>
    <xf numFmtId="0" fontId="9" fillId="2" borderId="21" xfId="0" applyFont="1" applyFill="1" applyBorder="1" applyAlignment="1">
      <alignment horizontal="left" vertical="top" wrapText="1"/>
    </xf>
    <xf numFmtId="0" fontId="9" fillId="2" borderId="61" xfId="0" applyFont="1" applyFill="1" applyBorder="1" applyAlignment="1">
      <alignment horizontal="left" vertical="top" wrapText="1"/>
    </xf>
    <xf numFmtId="0" fontId="9" fillId="2" borderId="67" xfId="0" applyFont="1" applyFill="1" applyBorder="1" applyAlignment="1">
      <alignment horizontal="left" vertical="top" wrapText="1"/>
    </xf>
    <xf numFmtId="177" fontId="6" fillId="6" borderId="1" xfId="0" applyNumberFormat="1" applyFont="1" applyFill="1" applyBorder="1" applyAlignment="1">
      <alignment horizontal="center"/>
    </xf>
    <xf numFmtId="0" fontId="9" fillId="2" borderId="29" xfId="0" applyFont="1" applyFill="1" applyBorder="1" applyAlignment="1">
      <alignment horizontal="left" vertical="top" wrapText="1"/>
    </xf>
    <xf numFmtId="0" fontId="9" fillId="2" borderId="0" xfId="0" applyFont="1" applyFill="1" applyAlignment="1">
      <alignment horizontal="left" vertical="top" wrapText="1"/>
    </xf>
    <xf numFmtId="0" fontId="9" fillId="0" borderId="65" xfId="0" applyFont="1" applyBorder="1" applyAlignment="1">
      <alignment horizontal="center" vertical="top" wrapText="1"/>
    </xf>
    <xf numFmtId="0" fontId="9" fillId="0" borderId="66" xfId="0" applyFont="1" applyBorder="1" applyAlignment="1">
      <alignment horizontal="center" vertical="top" wrapText="1"/>
    </xf>
    <xf numFmtId="0" fontId="45" fillId="6" borderId="34" xfId="0" applyFont="1" applyFill="1" applyBorder="1" applyAlignment="1">
      <alignment horizontal="center" shrinkToFit="1"/>
    </xf>
    <xf numFmtId="0" fontId="45" fillId="6" borderId="68" xfId="0" applyFont="1" applyFill="1" applyBorder="1" applyAlignment="1">
      <alignment horizontal="center" shrinkToFit="1"/>
    </xf>
    <xf numFmtId="0" fontId="9" fillId="2" borderId="1" xfId="0" applyFont="1" applyFill="1" applyBorder="1" applyAlignment="1">
      <alignment horizontal="center" vertical="top" wrapText="1"/>
    </xf>
    <xf numFmtId="0" fontId="0" fillId="0" borderId="21" xfId="0" applyBorder="1" applyAlignment="1">
      <alignment horizontal="center" vertical="center" wrapText="1"/>
    </xf>
    <xf numFmtId="0" fontId="0" fillId="0" borderId="61"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5" xfId="0" applyBorder="1" applyAlignment="1">
      <alignment horizontal="center" vertical="center" wrapText="1"/>
    </xf>
    <xf numFmtId="0" fontId="9" fillId="0" borderId="21" xfId="0" applyFont="1" applyBorder="1" applyAlignment="1">
      <alignment horizontal="left" vertical="top" wrapText="1"/>
    </xf>
    <xf numFmtId="0" fontId="9" fillId="0" borderId="61" xfId="0" applyFont="1" applyBorder="1" applyAlignment="1">
      <alignment horizontal="left" vertical="top" wrapText="1"/>
    </xf>
    <xf numFmtId="0" fontId="9" fillId="0" borderId="29" xfId="0" applyFont="1" applyBorder="1" applyAlignment="1">
      <alignment horizontal="left" vertical="top" wrapText="1"/>
    </xf>
    <xf numFmtId="0" fontId="9" fillId="0" borderId="0" xfId="0" applyFont="1" applyAlignment="1">
      <alignment horizontal="left" vertical="top" wrapText="1"/>
    </xf>
    <xf numFmtId="0" fontId="9" fillId="0" borderId="16" xfId="0" applyFont="1" applyBorder="1" applyAlignment="1">
      <alignment horizontal="left" vertical="top" wrapText="1"/>
    </xf>
    <xf numFmtId="0" fontId="9" fillId="0" borderId="65" xfId="0" applyFont="1" applyBorder="1" applyAlignment="1">
      <alignment horizontal="left" vertical="top" wrapText="1"/>
    </xf>
    <xf numFmtId="0" fontId="23" fillId="0" borderId="25" xfId="0" applyFont="1" applyBorder="1" applyAlignment="1">
      <alignment horizontal="center" wrapText="1"/>
    </xf>
    <xf numFmtId="0" fontId="23" fillId="0" borderId="33" xfId="0" applyFont="1" applyBorder="1" applyAlignment="1">
      <alignment horizontal="center" wrapText="1"/>
    </xf>
    <xf numFmtId="0" fontId="6" fillId="0" borderId="98" xfId="0" applyFont="1" applyBorder="1" applyAlignment="1">
      <alignment horizontal="center" vertical="top" wrapText="1"/>
    </xf>
    <xf numFmtId="0" fontId="6" fillId="0" borderId="99" xfId="0" applyFont="1" applyBorder="1" applyAlignment="1">
      <alignment horizontal="center" vertical="top" wrapText="1"/>
    </xf>
    <xf numFmtId="0" fontId="6" fillId="0" borderId="114" xfId="0" applyFont="1" applyBorder="1" applyAlignment="1">
      <alignment horizontal="center" vertical="top" wrapText="1"/>
    </xf>
    <xf numFmtId="0" fontId="6" fillId="3" borderId="97" xfId="0" applyFont="1" applyFill="1" applyBorder="1" applyAlignment="1" applyProtection="1">
      <alignment horizontal="center" vertical="center" wrapText="1"/>
      <protection locked="0"/>
    </xf>
    <xf numFmtId="0" fontId="6" fillId="3" borderId="100" xfId="0" applyFont="1" applyFill="1" applyBorder="1" applyAlignment="1" applyProtection="1">
      <alignment horizontal="center" vertical="center" wrapText="1"/>
      <protection locked="0"/>
    </xf>
    <xf numFmtId="0" fontId="6" fillId="3" borderId="115" xfId="0" applyFont="1" applyFill="1" applyBorder="1" applyAlignment="1" applyProtection="1">
      <alignment horizontal="center" vertical="center" wrapText="1"/>
      <protection locked="0"/>
    </xf>
    <xf numFmtId="0" fontId="6" fillId="3" borderId="132" xfId="0" applyFont="1" applyFill="1" applyBorder="1" applyAlignment="1" applyProtection="1">
      <alignment horizontal="center" vertical="top" wrapText="1"/>
      <protection locked="0"/>
    </xf>
    <xf numFmtId="0" fontId="0" fillId="0" borderId="29"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3" borderId="21"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15" fillId="0" borderId="21" xfId="0" applyFont="1" applyBorder="1" applyAlignment="1">
      <alignment horizontal="left" vertical="top" wrapText="1"/>
    </xf>
    <xf numFmtId="0" fontId="15" fillId="0" borderId="61" xfId="0" applyFont="1" applyBorder="1" applyAlignment="1">
      <alignment horizontal="left" vertical="top" wrapText="1"/>
    </xf>
    <xf numFmtId="0" fontId="15" fillId="0" borderId="29" xfId="0" applyFont="1" applyBorder="1" applyAlignment="1">
      <alignment horizontal="left" vertical="top" wrapText="1"/>
    </xf>
    <xf numFmtId="0" fontId="15" fillId="0" borderId="0" xfId="0" applyFont="1" applyAlignment="1">
      <alignment horizontal="left" vertical="top" wrapText="1"/>
    </xf>
    <xf numFmtId="0" fontId="15" fillId="0" borderId="32" xfId="0" applyFont="1" applyBorder="1" applyAlignment="1">
      <alignment horizontal="left" vertical="top" wrapText="1"/>
    </xf>
    <xf numFmtId="0" fontId="15" fillId="0" borderId="30" xfId="0" applyFont="1" applyBorder="1" applyAlignment="1">
      <alignment horizontal="left" vertical="top" wrapText="1"/>
    </xf>
    <xf numFmtId="0" fontId="9" fillId="0" borderId="0" xfId="0" applyFont="1" applyAlignment="1">
      <alignment horizontal="center" vertical="top" wrapText="1"/>
    </xf>
    <xf numFmtId="0" fontId="9" fillId="0" borderId="36" xfId="0" applyFont="1" applyBorder="1" applyAlignment="1">
      <alignment horizontal="center" vertical="top"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43" xfId="0" applyFont="1" applyBorder="1" applyAlignment="1">
      <alignment horizontal="left" vertical="center" wrapText="1"/>
    </xf>
    <xf numFmtId="0" fontId="9" fillId="0" borderId="55" xfId="0" applyFont="1" applyBorder="1" applyAlignment="1">
      <alignment horizontal="center" vertical="center" wrapText="1"/>
    </xf>
    <xf numFmtId="0" fontId="9" fillId="0" borderId="54" xfId="0" applyFont="1" applyBorder="1" applyAlignment="1">
      <alignment horizontal="center" vertical="center" wrapText="1"/>
    </xf>
    <xf numFmtId="0" fontId="6" fillId="2" borderId="134" xfId="0" applyFont="1" applyFill="1" applyBorder="1" applyAlignment="1">
      <alignment horizontal="center" vertical="center"/>
    </xf>
    <xf numFmtId="0" fontId="6" fillId="2" borderId="23" xfId="0" applyFont="1" applyFill="1" applyBorder="1" applyAlignment="1">
      <alignment horizontal="center" vertical="center"/>
    </xf>
    <xf numFmtId="0" fontId="6" fillId="0" borderId="130" xfId="0" applyFont="1" applyBorder="1" applyAlignment="1">
      <alignment horizontal="center" vertical="center"/>
    </xf>
    <xf numFmtId="0" fontId="6" fillId="0" borderId="127" xfId="0" applyFont="1" applyBorder="1" applyAlignment="1">
      <alignment horizontal="center" vertical="center"/>
    </xf>
    <xf numFmtId="0" fontId="6" fillId="0" borderId="131" xfId="0" applyFont="1" applyBorder="1" applyAlignment="1">
      <alignment horizontal="center" vertical="center"/>
    </xf>
    <xf numFmtId="0" fontId="6" fillId="0" borderId="132" xfId="0" applyFont="1" applyBorder="1" applyAlignment="1">
      <alignment horizontal="center" vertical="center"/>
    </xf>
    <xf numFmtId="0" fontId="9" fillId="3" borderId="12" xfId="0" applyFont="1" applyFill="1" applyBorder="1" applyAlignment="1" applyProtection="1">
      <alignment horizontal="center" vertical="top" wrapText="1"/>
      <protection locked="0"/>
    </xf>
    <xf numFmtId="0" fontId="9" fillId="3" borderId="25" xfId="0" applyFont="1" applyFill="1" applyBorder="1" applyAlignment="1" applyProtection="1">
      <alignment horizontal="center" vertical="top" wrapText="1"/>
      <protection locked="0"/>
    </xf>
    <xf numFmtId="0" fontId="9" fillId="3" borderId="127" xfId="0" applyFont="1" applyFill="1" applyBorder="1" applyAlignment="1" applyProtection="1">
      <alignment horizontal="center" vertical="top" wrapText="1"/>
      <protection locked="0"/>
    </xf>
    <xf numFmtId="0" fontId="6" fillId="3" borderId="128" xfId="0" applyFont="1" applyFill="1" applyBorder="1" applyAlignment="1" applyProtection="1">
      <alignment horizontal="center" shrinkToFit="1"/>
      <protection locked="0"/>
    </xf>
    <xf numFmtId="0" fontId="9" fillId="2" borderId="11" xfId="0" applyFont="1" applyFill="1" applyBorder="1" applyAlignment="1">
      <alignment horizontal="center" vertical="top" wrapText="1"/>
    </xf>
    <xf numFmtId="0" fontId="9" fillId="3" borderId="43" xfId="0" applyFont="1" applyFill="1" applyBorder="1" applyAlignment="1" applyProtection="1">
      <alignment horizontal="center" vertical="top" wrapText="1"/>
      <protection locked="0"/>
    </xf>
    <xf numFmtId="0" fontId="9" fillId="3" borderId="39" xfId="0" applyFont="1" applyFill="1" applyBorder="1" applyAlignment="1" applyProtection="1">
      <alignment horizontal="center" vertical="top" wrapText="1"/>
      <protection locked="0"/>
    </xf>
    <xf numFmtId="0" fontId="9" fillId="3" borderId="138" xfId="0" applyFont="1" applyFill="1" applyBorder="1" applyAlignment="1" applyProtection="1">
      <alignment horizontal="center" vertical="top" wrapText="1"/>
      <protection locked="0"/>
    </xf>
    <xf numFmtId="0" fontId="6" fillId="3" borderId="116" xfId="0" applyFont="1" applyFill="1" applyBorder="1" applyAlignment="1" applyProtection="1">
      <alignment horizontal="center" shrinkToFit="1"/>
      <protection locked="0"/>
    </xf>
    <xf numFmtId="0" fontId="6" fillId="3" borderId="139" xfId="0" applyFont="1" applyFill="1" applyBorder="1" applyAlignment="1" applyProtection="1">
      <alignment horizontal="center" shrinkToFit="1"/>
      <protection locked="0"/>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6" borderId="57" xfId="0" applyFont="1" applyFill="1" applyBorder="1" applyAlignment="1">
      <alignment horizontal="center" vertical="center"/>
    </xf>
    <xf numFmtId="0" fontId="6" fillId="6" borderId="43"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60" xfId="0" applyFont="1" applyBorder="1" applyAlignment="1">
      <alignment horizontal="center" vertical="center" wrapText="1"/>
    </xf>
    <xf numFmtId="0" fontId="7" fillId="4" borderId="10" xfId="0" applyFont="1" applyFill="1" applyBorder="1" applyAlignment="1">
      <alignment horizontal="center"/>
    </xf>
    <xf numFmtId="0" fontId="7" fillId="4" borderId="5" xfId="0" applyFont="1" applyFill="1" applyBorder="1" applyAlignment="1">
      <alignment horizontal="center"/>
    </xf>
    <xf numFmtId="0" fontId="15" fillId="0" borderId="29" xfId="0" applyFont="1" applyBorder="1" applyAlignment="1">
      <alignment horizontal="left" vertical="center" wrapText="1"/>
    </xf>
    <xf numFmtId="0" fontId="15" fillId="0" borderId="0" xfId="0" applyFont="1" applyAlignment="1">
      <alignment horizontal="left" vertical="center" wrapText="1"/>
    </xf>
    <xf numFmtId="0" fontId="9" fillId="0" borderId="20" xfId="0" applyFont="1" applyBorder="1" applyAlignment="1">
      <alignment horizontal="center" vertical="center" wrapText="1"/>
    </xf>
    <xf numFmtId="0" fontId="9" fillId="0" borderId="13" xfId="0" applyFont="1" applyBorder="1" applyAlignment="1">
      <alignment horizontal="center" vertical="center" wrapText="1"/>
    </xf>
    <xf numFmtId="0" fontId="7" fillId="4" borderId="12" xfId="0" applyFont="1" applyFill="1" applyBorder="1" applyAlignment="1">
      <alignment horizontal="center"/>
    </xf>
    <xf numFmtId="0" fontId="7" fillId="4" borderId="13" xfId="0" applyFont="1" applyFill="1" applyBorder="1" applyAlignment="1">
      <alignment horizontal="center"/>
    </xf>
    <xf numFmtId="0" fontId="7" fillId="4" borderId="33" xfId="0" applyFont="1" applyFill="1" applyBorder="1" applyAlignment="1">
      <alignment horizontal="center"/>
    </xf>
    <xf numFmtId="0" fontId="6" fillId="6" borderId="1" xfId="0" applyFont="1" applyFill="1" applyBorder="1" applyAlignment="1" applyProtection="1">
      <alignment horizontal="center" vertical="center" wrapText="1"/>
      <protection locked="0"/>
    </xf>
    <xf numFmtId="0" fontId="6" fillId="6" borderId="45" xfId="0" applyFont="1" applyFill="1" applyBorder="1" applyAlignment="1">
      <alignment horizontal="center"/>
    </xf>
    <xf numFmtId="0" fontId="6" fillId="6" borderId="71" xfId="0" applyFont="1" applyFill="1" applyBorder="1" applyAlignment="1">
      <alignment horizontal="center"/>
    </xf>
    <xf numFmtId="0" fontId="6" fillId="6" borderId="39" xfId="0" applyFont="1" applyFill="1" applyBorder="1" applyAlignment="1">
      <alignment horizontal="center" vertical="center"/>
    </xf>
    <xf numFmtId="0" fontId="6" fillId="6" borderId="60" xfId="0" applyFont="1" applyFill="1" applyBorder="1" applyAlignment="1">
      <alignment horizontal="center"/>
    </xf>
    <xf numFmtId="0" fontId="9" fillId="6" borderId="23" xfId="0" applyFont="1" applyFill="1" applyBorder="1" applyAlignment="1">
      <alignment horizontal="center" vertical="center" wrapText="1"/>
    </xf>
    <xf numFmtId="0" fontId="9" fillId="6" borderId="118" xfId="0" applyFont="1" applyFill="1" applyBorder="1" applyAlignment="1">
      <alignment horizontal="center" vertical="center" wrapText="1"/>
    </xf>
    <xf numFmtId="0" fontId="9" fillId="6" borderId="113"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42"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15" fillId="6" borderId="41" xfId="0" applyFont="1" applyFill="1" applyBorder="1" applyAlignment="1">
      <alignment horizontal="center" vertical="center" wrapText="1"/>
    </xf>
    <xf numFmtId="0" fontId="15" fillId="6" borderId="4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57" xfId="0" applyFont="1" applyBorder="1" applyAlignment="1">
      <alignment horizontal="center" vertical="center" wrapText="1"/>
    </xf>
    <xf numFmtId="0" fontId="7" fillId="4" borderId="43" xfId="0" applyFont="1" applyFill="1" applyBorder="1" applyAlignment="1">
      <alignment horizontal="center"/>
    </xf>
    <xf numFmtId="0" fontId="7" fillId="4" borderId="57" xfId="0" applyFont="1" applyFill="1" applyBorder="1" applyAlignment="1">
      <alignment horizontal="center"/>
    </xf>
    <xf numFmtId="0" fontId="7" fillId="4" borderId="104" xfId="0" applyFont="1" applyFill="1" applyBorder="1" applyAlignment="1">
      <alignment horizontal="center"/>
    </xf>
    <xf numFmtId="0" fontId="9" fillId="6" borderId="14" xfId="0" applyFont="1" applyFill="1" applyBorder="1" applyAlignment="1">
      <alignment horizontal="center" vertical="center"/>
    </xf>
    <xf numFmtId="0" fontId="9" fillId="6" borderId="35"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111" xfId="0" applyFont="1" applyFill="1" applyBorder="1" applyAlignment="1">
      <alignment horizontal="center" vertical="center" wrapText="1"/>
    </xf>
    <xf numFmtId="0" fontId="9" fillId="6" borderId="112" xfId="0" applyFont="1" applyFill="1" applyBorder="1" applyAlignment="1">
      <alignment horizontal="center" vertical="center" wrapText="1"/>
    </xf>
    <xf numFmtId="180" fontId="20" fillId="4" borderId="50" xfId="0" applyNumberFormat="1" applyFont="1" applyFill="1" applyBorder="1" applyAlignment="1">
      <alignment horizontal="center" vertical="center"/>
    </xf>
    <xf numFmtId="180" fontId="20" fillId="4" borderId="3" xfId="0" applyNumberFormat="1" applyFont="1" applyFill="1" applyBorder="1" applyAlignment="1">
      <alignment horizontal="center" vertical="center"/>
    </xf>
    <xf numFmtId="180" fontId="7" fillId="4" borderId="3" xfId="0" applyNumberFormat="1" applyFont="1" applyFill="1" applyBorder="1" applyAlignment="1">
      <alignment horizontal="center" vertical="top" wrapText="1"/>
    </xf>
    <xf numFmtId="180" fontId="7" fillId="4" borderId="53" xfId="0" applyNumberFormat="1" applyFont="1" applyFill="1" applyBorder="1" applyAlignment="1">
      <alignment horizontal="center" vertical="top" wrapText="1"/>
    </xf>
    <xf numFmtId="0" fontId="0" fillId="0" borderId="22" xfId="0" applyBorder="1" applyAlignment="1">
      <alignment horizontal="center" vertical="center"/>
    </xf>
    <xf numFmtId="0" fontId="0" fillId="0" borderId="39" xfId="0" applyBorder="1" applyAlignment="1">
      <alignment horizontal="center" vertical="center"/>
    </xf>
    <xf numFmtId="182" fontId="20" fillId="4" borderId="8" xfId="0" applyNumberFormat="1" applyFont="1" applyFill="1" applyBorder="1" applyAlignment="1">
      <alignment horizontal="center" vertical="center"/>
    </xf>
    <xf numFmtId="182" fontId="20" fillId="4" borderId="11" xfId="0" applyNumberFormat="1" applyFont="1" applyFill="1" applyBorder="1" applyAlignment="1">
      <alignment horizontal="center" vertical="center"/>
    </xf>
    <xf numFmtId="180" fontId="7" fillId="4" borderId="11" xfId="0" applyNumberFormat="1" applyFont="1" applyFill="1" applyBorder="1" applyAlignment="1">
      <alignment horizontal="center" vertical="top" wrapText="1"/>
    </xf>
    <xf numFmtId="180" fontId="7" fillId="4" borderId="9" xfId="0" applyNumberFormat="1" applyFont="1" applyFill="1" applyBorder="1" applyAlignment="1">
      <alignment horizontal="center" vertical="top" wrapText="1"/>
    </xf>
    <xf numFmtId="0" fontId="9" fillId="6" borderId="50" xfId="0" applyFont="1" applyFill="1" applyBorder="1" applyAlignment="1">
      <alignment horizontal="center"/>
    </xf>
    <xf numFmtId="0" fontId="9" fillId="6" borderId="53" xfId="0" applyFont="1" applyFill="1" applyBorder="1" applyAlignment="1">
      <alignment horizont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9" fillId="6" borderId="22" xfId="0" applyFont="1" applyFill="1" applyBorder="1" applyAlignment="1">
      <alignment horizontal="center"/>
    </xf>
    <xf numFmtId="0" fontId="9" fillId="6" borderId="104" xfId="0" applyFont="1" applyFill="1" applyBorder="1" applyAlignment="1">
      <alignment horizontal="center"/>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9" xfId="0" applyFont="1" applyBorder="1" applyAlignment="1">
      <alignment horizontal="center" vertical="center" wrapText="1"/>
    </xf>
    <xf numFmtId="0" fontId="6" fillId="0" borderId="0" xfId="0" applyFont="1" applyAlignment="1">
      <alignment horizontal="left" vertical="top" wrapText="1"/>
    </xf>
    <xf numFmtId="0" fontId="44" fillId="0" borderId="0" xfId="2" applyAlignment="1" applyProtection="1">
      <alignment horizontal="left" vertical="top" wrapText="1"/>
    </xf>
    <xf numFmtId="0" fontId="14" fillId="0" borderId="0" xfId="0" applyFont="1" applyAlignment="1">
      <alignment horizontal="left" vertical="top" wrapText="1"/>
    </xf>
    <xf numFmtId="0" fontId="0" fillId="0" borderId="30" xfId="0" applyBorder="1" applyAlignment="1">
      <alignment horizontal="left" vertical="top" wrapText="1"/>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19" xfId="0" applyBorder="1" applyAlignment="1">
      <alignment horizontal="center" vertical="center"/>
    </xf>
    <xf numFmtId="0" fontId="0" fillId="0" borderId="7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xf>
    <xf numFmtId="0" fontId="0" fillId="0" borderId="58" xfId="0" applyBorder="1" applyAlignment="1">
      <alignment horizontal="center" vertical="center"/>
    </xf>
    <xf numFmtId="0" fontId="0" fillId="0" borderId="43"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57" xfId="0" applyBorder="1" applyAlignment="1">
      <alignment horizontal="center" vertical="center" wrapText="1" shrinkToFit="1"/>
    </xf>
    <xf numFmtId="0" fontId="6" fillId="0" borderId="4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0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104" xfId="0" applyFont="1" applyBorder="1" applyAlignment="1">
      <alignment horizontal="center" vertical="center" wrapText="1"/>
    </xf>
    <xf numFmtId="0" fontId="15" fillId="3" borderId="19"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4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5" fillId="3" borderId="60" xfId="0" applyFont="1" applyFill="1" applyBorder="1" applyAlignment="1" applyProtection="1">
      <alignment horizontal="center" vertical="center" shrinkToFit="1"/>
      <protection locked="0"/>
    </xf>
    <xf numFmtId="0" fontId="15" fillId="3" borderId="45"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178" fontId="15" fillId="4" borderId="50" xfId="0" applyNumberFormat="1" applyFont="1" applyFill="1" applyBorder="1" applyAlignment="1">
      <alignment horizontal="center" vertical="center"/>
    </xf>
    <xf numFmtId="178" fontId="15" fillId="4" borderId="51" xfId="0" applyNumberFormat="1" applyFont="1" applyFill="1" applyBorder="1" applyAlignment="1">
      <alignment horizontal="center" vertical="center"/>
    </xf>
    <xf numFmtId="178" fontId="15" fillId="4" borderId="3" xfId="0" applyNumberFormat="1" applyFont="1" applyFill="1" applyBorder="1" applyAlignment="1">
      <alignment horizontal="center" vertical="center"/>
    </xf>
    <xf numFmtId="0" fontId="7" fillId="4" borderId="45" xfId="0" applyFont="1" applyFill="1" applyBorder="1" applyAlignment="1">
      <alignment horizontal="center" vertical="top" wrapText="1"/>
    </xf>
    <xf numFmtId="0" fontId="7" fillId="4" borderId="71" xfId="0" applyFont="1" applyFill="1" applyBorder="1" applyAlignment="1">
      <alignment horizontal="center" vertical="top" wrapText="1"/>
    </xf>
    <xf numFmtId="0" fontId="7" fillId="4" borderId="59" xfId="0" applyFont="1" applyFill="1" applyBorder="1" applyAlignment="1">
      <alignment horizontal="center" vertical="top" wrapText="1"/>
    </xf>
    <xf numFmtId="0" fontId="15" fillId="3" borderId="20" xfId="0" applyFont="1" applyFill="1" applyBorder="1" applyAlignment="1" applyProtection="1">
      <alignment horizontal="center" vertical="center"/>
      <protection locked="0"/>
    </xf>
    <xf numFmtId="0" fontId="15" fillId="3" borderId="25"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shrinkToFit="1"/>
      <protection locked="0"/>
    </xf>
    <xf numFmtId="0" fontId="15" fillId="3" borderId="25" xfId="0" applyFont="1" applyFill="1" applyBorder="1" applyAlignment="1" applyProtection="1">
      <alignment horizontal="center" vertical="center" shrinkToFit="1"/>
      <protection locked="0"/>
    </xf>
    <xf numFmtId="0" fontId="15" fillId="3" borderId="13" xfId="0" applyFont="1" applyFill="1" applyBorder="1" applyAlignment="1" applyProtection="1">
      <alignment horizontal="center" vertical="center" shrinkToFit="1"/>
      <protection locked="0"/>
    </xf>
    <xf numFmtId="0" fontId="15" fillId="0" borderId="22" xfId="0" applyFont="1" applyBorder="1" applyAlignment="1">
      <alignment horizontal="center" vertical="center"/>
    </xf>
    <xf numFmtId="0" fontId="15" fillId="0" borderId="39" xfId="0" applyFont="1" applyBorder="1" applyAlignment="1">
      <alignment horizontal="center" vertical="center"/>
    </xf>
    <xf numFmtId="0" fontId="15" fillId="0" borderId="57" xfId="0" applyFont="1" applyBorder="1" applyAlignment="1">
      <alignment horizontal="center" vertical="center"/>
    </xf>
    <xf numFmtId="0" fontId="9" fillId="2" borderId="43"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104" xfId="0" applyFont="1" applyFill="1" applyBorder="1" applyAlignment="1">
      <alignment horizontal="center" vertical="center"/>
    </xf>
    <xf numFmtId="178" fontId="20" fillId="3" borderId="32" xfId="0" applyNumberFormat="1" applyFont="1" applyFill="1" applyBorder="1" applyAlignment="1" applyProtection="1">
      <alignment horizontal="center" vertical="center"/>
      <protection locked="0"/>
    </xf>
    <xf numFmtId="178" fontId="20" fillId="3" borderId="30" xfId="0" applyNumberFormat="1" applyFont="1" applyFill="1" applyBorder="1" applyAlignment="1" applyProtection="1">
      <alignment horizontal="center" vertical="center"/>
      <protection locked="0"/>
    </xf>
    <xf numFmtId="178" fontId="20" fillId="3" borderId="58" xfId="0" applyNumberFormat="1" applyFont="1" applyFill="1" applyBorder="1" applyAlignment="1" applyProtection="1">
      <alignment horizontal="center" vertical="center"/>
      <protection locked="0"/>
    </xf>
    <xf numFmtId="178" fontId="20" fillId="3" borderId="21" xfId="0" applyNumberFormat="1" applyFont="1" applyFill="1" applyBorder="1" applyAlignment="1" applyProtection="1">
      <alignment horizontal="center" vertical="center"/>
      <protection locked="0"/>
    </xf>
    <xf numFmtId="178" fontId="20" fillId="3" borderId="61" xfId="0" applyNumberFormat="1" applyFont="1" applyFill="1" applyBorder="1" applyAlignment="1" applyProtection="1">
      <alignment horizontal="center" vertical="center"/>
      <protection locked="0"/>
    </xf>
    <xf numFmtId="178" fontId="20" fillId="3" borderId="119" xfId="0" applyNumberFormat="1" applyFont="1" applyFill="1" applyBorder="1" applyAlignment="1" applyProtection="1">
      <alignment horizontal="center" vertical="center"/>
      <protection locked="0"/>
    </xf>
    <xf numFmtId="0" fontId="7" fillId="4" borderId="43" xfId="0" applyFont="1" applyFill="1" applyBorder="1" applyAlignment="1">
      <alignment horizontal="center" vertical="top" wrapText="1"/>
    </xf>
    <xf numFmtId="0" fontId="7" fillId="4" borderId="39" xfId="0" applyFont="1" applyFill="1" applyBorder="1" applyAlignment="1">
      <alignment horizontal="center" vertical="top" wrapText="1"/>
    </xf>
    <xf numFmtId="0" fontId="7" fillId="4" borderId="104" xfId="0" applyFont="1" applyFill="1" applyBorder="1" applyAlignment="1">
      <alignment horizontal="center" vertical="top" wrapText="1"/>
    </xf>
    <xf numFmtId="178" fontId="20" fillId="4" borderId="6" xfId="0" applyNumberFormat="1" applyFont="1" applyFill="1" applyBorder="1" applyAlignment="1">
      <alignment horizontal="center" vertical="center"/>
    </xf>
    <xf numFmtId="178" fontId="20" fillId="4" borderId="13" xfId="0" applyNumberFormat="1" applyFont="1" applyFill="1" applyBorder="1" applyAlignment="1">
      <alignment horizontal="center" vertical="center"/>
    </xf>
    <xf numFmtId="178" fontId="20" fillId="4" borderId="1" xfId="0" applyNumberFormat="1" applyFont="1" applyFill="1" applyBorder="1" applyAlignment="1">
      <alignment horizontal="center" vertical="center"/>
    </xf>
    <xf numFmtId="0" fontId="7" fillId="4" borderId="12" xfId="0" applyFont="1" applyFill="1" applyBorder="1" applyAlignment="1">
      <alignment horizontal="center" vertical="top" wrapText="1"/>
    </xf>
    <xf numFmtId="0" fontId="7" fillId="4" borderId="25" xfId="0" applyFont="1" applyFill="1" applyBorder="1" applyAlignment="1">
      <alignment horizontal="center" vertical="top" wrapText="1"/>
    </xf>
    <xf numFmtId="0" fontId="7" fillId="4" borderId="33" xfId="0" applyFont="1" applyFill="1" applyBorder="1" applyAlignment="1">
      <alignment horizontal="center" vertical="top" wrapText="1"/>
    </xf>
    <xf numFmtId="178" fontId="20" fillId="4" borderId="4" xfId="0" applyNumberFormat="1" applyFont="1" applyFill="1" applyBorder="1" applyAlignment="1">
      <alignment horizontal="center" vertical="center"/>
    </xf>
    <xf numFmtId="178" fontId="20" fillId="4" borderId="60" xfId="0" applyNumberFormat="1" applyFont="1" applyFill="1" applyBorder="1" applyAlignment="1">
      <alignment horizontal="center" vertical="center"/>
    </xf>
    <xf numFmtId="178" fontId="20" fillId="4" borderId="10" xfId="0" applyNumberFormat="1" applyFont="1" applyFill="1" applyBorder="1" applyAlignment="1">
      <alignment horizontal="center" vertical="center"/>
    </xf>
    <xf numFmtId="0" fontId="0" fillId="0" borderId="24" xfId="0" applyBorder="1" applyAlignment="1">
      <alignment horizontal="center" vertical="center"/>
    </xf>
    <xf numFmtId="0" fontId="0" fillId="0" borderId="111" xfId="0"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0" fontId="14"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6" borderId="24" xfId="0" applyFont="1" applyFill="1" applyBorder="1" applyAlignment="1">
      <alignment horizontal="center" vertical="center" wrapText="1"/>
    </xf>
    <xf numFmtId="0" fontId="6" fillId="6" borderId="111" xfId="0" applyFont="1" applyFill="1" applyBorder="1" applyAlignment="1">
      <alignment horizontal="center" vertical="center" wrapText="1"/>
    </xf>
    <xf numFmtId="0" fontId="6" fillId="6" borderId="112"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6" fillId="0" borderId="43" xfId="0" applyFont="1" applyBorder="1" applyAlignment="1">
      <alignment horizontal="center" vertical="center"/>
    </xf>
    <xf numFmtId="0" fontId="6" fillId="0" borderId="57" xfId="0" applyFont="1" applyBorder="1" applyAlignment="1">
      <alignment horizontal="center" vertical="center"/>
    </xf>
    <xf numFmtId="178" fontId="22" fillId="4" borderId="45" xfId="0" applyNumberFormat="1" applyFont="1" applyFill="1" applyBorder="1" applyAlignment="1">
      <alignment horizontal="center" vertical="center" wrapText="1"/>
    </xf>
    <xf numFmtId="178" fontId="22" fillId="4" borderId="60" xfId="0" applyNumberFormat="1" applyFont="1" applyFill="1" applyBorder="1" applyAlignment="1">
      <alignment horizontal="center" vertical="center" wrapText="1"/>
    </xf>
    <xf numFmtId="178" fontId="22" fillId="4" borderId="10" xfId="0" applyNumberFormat="1" applyFont="1" applyFill="1" applyBorder="1" applyAlignment="1">
      <alignment horizontal="center" vertical="center" wrapText="1"/>
    </xf>
    <xf numFmtId="178" fontId="22" fillId="4" borderId="5"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43" xfId="0" applyBorder="1" applyAlignment="1">
      <alignment horizontal="center" vertical="center" wrapText="1"/>
    </xf>
    <xf numFmtId="0" fontId="0" fillId="0" borderId="21" xfId="0" applyBorder="1" applyAlignment="1">
      <alignment horizontal="center" vertical="center"/>
    </xf>
    <xf numFmtId="0" fontId="0" fillId="0" borderId="61" xfId="0" applyBorder="1" applyAlignment="1">
      <alignment horizontal="center" vertical="center"/>
    </xf>
    <xf numFmtId="0" fontId="0" fillId="0" borderId="119" xfId="0" applyBorder="1" applyAlignment="1">
      <alignment horizontal="center" vertical="center"/>
    </xf>
    <xf numFmtId="0" fontId="0" fillId="0" borderId="126" xfId="0" applyBorder="1" applyAlignment="1">
      <alignment horizontal="center" vertical="center"/>
    </xf>
    <xf numFmtId="0" fontId="20" fillId="0" borderId="44" xfId="0" applyFont="1" applyBorder="1" applyAlignment="1">
      <alignment horizontal="center" vertical="center" shrinkToFit="1"/>
    </xf>
    <xf numFmtId="0" fontId="20" fillId="0" borderId="119" xfId="0" applyFont="1" applyBorder="1" applyAlignment="1">
      <alignment horizontal="center" vertical="center" shrinkToFit="1"/>
    </xf>
    <xf numFmtId="0" fontId="20" fillId="0" borderId="125" xfId="0" applyFont="1" applyBorder="1" applyAlignment="1">
      <alignment horizontal="center" vertical="center" shrinkToFit="1"/>
    </xf>
    <xf numFmtId="0" fontId="20" fillId="0" borderId="126"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58" xfId="0" applyFont="1" applyBorder="1" applyAlignment="1">
      <alignment horizontal="center" vertical="center" shrinkToFit="1"/>
    </xf>
    <xf numFmtId="0" fontId="0" fillId="0" borderId="44" xfId="0" applyBorder="1" applyAlignment="1">
      <alignment horizontal="center" vertical="center"/>
    </xf>
    <xf numFmtId="0" fontId="0" fillId="0" borderId="67" xfId="0" applyBorder="1" applyAlignment="1">
      <alignment horizontal="center" vertical="center"/>
    </xf>
    <xf numFmtId="0" fontId="0" fillId="0" borderId="125" xfId="0" applyBorder="1" applyAlignment="1">
      <alignment horizontal="center" vertical="center"/>
    </xf>
    <xf numFmtId="0" fontId="0" fillId="0" borderId="36" xfId="0" applyBorder="1" applyAlignment="1">
      <alignment horizontal="center" vertical="center"/>
    </xf>
    <xf numFmtId="0" fontId="0" fillId="0" borderId="47" xfId="0" applyBorder="1" applyAlignment="1">
      <alignment horizontal="center" vertical="center"/>
    </xf>
    <xf numFmtId="0" fontId="6" fillId="0" borderId="21"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5" fillId="0" borderId="24"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12" xfId="0" applyFont="1" applyBorder="1" applyAlignment="1">
      <alignment horizontal="center" vertical="center" wrapText="1"/>
    </xf>
    <xf numFmtId="0" fontId="15" fillId="3" borderId="19"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3" borderId="60" xfId="0" applyFont="1" applyFill="1" applyBorder="1" applyAlignment="1" applyProtection="1">
      <alignment horizontal="left" vertical="center" wrapText="1"/>
      <protection locked="0"/>
    </xf>
    <xf numFmtId="0" fontId="23" fillId="3" borderId="45" xfId="0" applyFont="1" applyFill="1" applyBorder="1" applyAlignment="1" applyProtection="1">
      <alignment horizontal="center" vertical="center" wrapText="1" shrinkToFit="1"/>
      <protection locked="0"/>
    </xf>
    <xf numFmtId="0" fontId="23" fillId="3" borderId="60" xfId="0" applyFont="1" applyFill="1" applyBorder="1" applyAlignment="1" applyProtection="1">
      <alignment horizontal="center" vertical="center" wrapText="1" shrinkToFit="1"/>
      <protection locked="0"/>
    </xf>
    <xf numFmtId="0" fontId="6" fillId="6" borderId="35" xfId="0" applyFont="1" applyFill="1" applyBorder="1" applyAlignment="1">
      <alignment horizontal="center" wrapText="1"/>
    </xf>
    <xf numFmtId="0" fontId="6" fillId="6" borderId="36" xfId="0" applyFont="1" applyFill="1" applyBorder="1" applyAlignment="1">
      <alignment horizontal="center" wrapText="1"/>
    </xf>
    <xf numFmtId="0" fontId="15" fillId="0" borderId="22" xfId="0" applyFont="1" applyBorder="1" applyAlignment="1">
      <alignment horizontal="left" vertical="center" wrapText="1"/>
    </xf>
    <xf numFmtId="0" fontId="15" fillId="0" borderId="39" xfId="0" applyFont="1" applyBorder="1" applyAlignment="1">
      <alignment horizontal="left" vertical="center" wrapText="1"/>
    </xf>
    <xf numFmtId="0" fontId="15" fillId="0" borderId="57" xfId="0" applyFont="1" applyBorder="1" applyAlignment="1">
      <alignment horizontal="left" vertical="center" wrapText="1"/>
    </xf>
    <xf numFmtId="0" fontId="15" fillId="2" borderId="43"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104" xfId="0" applyFont="1" applyFill="1" applyBorder="1" applyAlignment="1">
      <alignment horizontal="left" vertical="center" wrapText="1"/>
    </xf>
    <xf numFmtId="178" fontId="20" fillId="3" borderId="22" xfId="0" applyNumberFormat="1" applyFont="1" applyFill="1" applyBorder="1" applyAlignment="1" applyProtection="1">
      <alignment horizontal="center" vertical="center"/>
      <protection locked="0"/>
    </xf>
    <xf numFmtId="178" fontId="20" fillId="3" borderId="57" xfId="0" applyNumberFormat="1" applyFont="1" applyFill="1" applyBorder="1" applyAlignment="1" applyProtection="1">
      <alignment horizontal="center" vertical="center"/>
      <protection locked="0"/>
    </xf>
    <xf numFmtId="178" fontId="22" fillId="4" borderId="43" xfId="0" applyNumberFormat="1" applyFont="1" applyFill="1" applyBorder="1" applyAlignment="1">
      <alignment horizontal="center" vertical="center" wrapText="1"/>
    </xf>
    <xf numFmtId="178" fontId="22" fillId="4" borderId="57" xfId="0" applyNumberFormat="1" applyFont="1" applyFill="1" applyBorder="1" applyAlignment="1">
      <alignment horizontal="center" vertical="center" wrapText="1"/>
    </xf>
    <xf numFmtId="0" fontId="15" fillId="3" borderId="20" xfId="0" applyFont="1" applyFill="1" applyBorder="1" applyAlignment="1" applyProtection="1">
      <alignment horizontal="left" vertical="center" wrapText="1"/>
      <protection locked="0"/>
    </xf>
    <xf numFmtId="0" fontId="15" fillId="3" borderId="25" xfId="0" applyFont="1" applyFill="1" applyBorder="1" applyAlignment="1" applyProtection="1">
      <alignment horizontal="left" vertical="center" wrapText="1"/>
      <protection locked="0"/>
    </xf>
    <xf numFmtId="0" fontId="15" fillId="3" borderId="13" xfId="0" applyFont="1" applyFill="1" applyBorder="1" applyAlignment="1" applyProtection="1">
      <alignment horizontal="left" vertical="center" wrapText="1"/>
      <protection locked="0"/>
    </xf>
    <xf numFmtId="0" fontId="23" fillId="3" borderId="12" xfId="0" applyFont="1" applyFill="1" applyBorder="1" applyAlignment="1" applyProtection="1">
      <alignment horizontal="center" vertical="center" wrapText="1" shrinkToFit="1"/>
      <protection locked="0"/>
    </xf>
    <xf numFmtId="0" fontId="23" fillId="3" borderId="13" xfId="0" applyFont="1" applyFill="1" applyBorder="1" applyAlignment="1" applyProtection="1">
      <alignment horizontal="center" vertical="center" wrapText="1" shrinkToFit="1"/>
      <protection locked="0"/>
    </xf>
    <xf numFmtId="0" fontId="15" fillId="3" borderId="12" xfId="0" applyFont="1" applyFill="1" applyBorder="1" applyAlignment="1" applyProtection="1">
      <alignment horizontal="center" vertical="center" wrapText="1"/>
      <protection locked="0"/>
    </xf>
    <xf numFmtId="0" fontId="15" fillId="3" borderId="25" xfId="0" applyFont="1" applyFill="1" applyBorder="1" applyAlignment="1" applyProtection="1">
      <alignment horizontal="center" vertical="center" wrapText="1"/>
      <protection locked="0"/>
    </xf>
    <xf numFmtId="0" fontId="15" fillId="3" borderId="33" xfId="0" applyFont="1" applyFill="1" applyBorder="1" applyAlignment="1" applyProtection="1">
      <alignment horizontal="center" vertical="center" wrapText="1"/>
      <protection locked="0"/>
    </xf>
    <xf numFmtId="178" fontId="20" fillId="4" borderId="20" xfId="0" applyNumberFormat="1" applyFont="1" applyFill="1" applyBorder="1" applyAlignment="1">
      <alignment horizontal="center" vertical="center"/>
    </xf>
    <xf numFmtId="178" fontId="22" fillId="4" borderId="11" xfId="0" applyNumberFormat="1" applyFont="1" applyFill="1" applyBorder="1" applyAlignment="1">
      <alignment horizontal="center" vertical="center" wrapText="1"/>
    </xf>
    <xf numFmtId="178" fontId="22" fillId="4" borderId="9" xfId="0" applyNumberFormat="1" applyFont="1" applyFill="1" applyBorder="1" applyAlignment="1">
      <alignment horizontal="center" vertical="center" wrapText="1"/>
    </xf>
    <xf numFmtId="0" fontId="20" fillId="3" borderId="45" xfId="0" applyFont="1" applyFill="1" applyBorder="1" applyAlignment="1" applyProtection="1">
      <alignment horizontal="center" vertical="center" wrapText="1"/>
      <protection locked="0"/>
    </xf>
    <xf numFmtId="0" fontId="20" fillId="3" borderId="71" xfId="0" applyFont="1" applyFill="1" applyBorder="1" applyAlignment="1" applyProtection="1">
      <alignment horizontal="center" vertical="center" wrapText="1"/>
      <protection locked="0"/>
    </xf>
    <xf numFmtId="0" fontId="20" fillId="3" borderId="59" xfId="0" applyFont="1" applyFill="1" applyBorder="1" applyAlignment="1" applyProtection="1">
      <alignment horizontal="center" vertical="center" wrapText="1"/>
      <protection locked="0"/>
    </xf>
    <xf numFmtId="178" fontId="20" fillId="4" borderId="19" xfId="0" applyNumberFormat="1" applyFont="1" applyFill="1" applyBorder="1" applyAlignment="1">
      <alignment horizontal="center" vertical="center"/>
    </xf>
    <xf numFmtId="178" fontId="22" fillId="4" borderId="12" xfId="0" applyNumberFormat="1" applyFont="1" applyFill="1" applyBorder="1" applyAlignment="1">
      <alignment horizontal="center" vertical="center" wrapText="1"/>
    </xf>
    <xf numFmtId="178" fontId="22" fillId="4" borderId="13" xfId="0" applyNumberFormat="1" applyFont="1" applyFill="1" applyBorder="1" applyAlignment="1">
      <alignment horizontal="center" vertical="center" wrapText="1"/>
    </xf>
    <xf numFmtId="178" fontId="22" fillId="4" borderId="1" xfId="0" applyNumberFormat="1" applyFont="1" applyFill="1" applyBorder="1" applyAlignment="1">
      <alignment horizontal="center" vertical="center" wrapText="1"/>
    </xf>
    <xf numFmtId="178" fontId="22" fillId="4" borderId="3" xfId="0" applyNumberFormat="1" applyFont="1" applyFill="1" applyBorder="1" applyAlignment="1">
      <alignment horizontal="center" vertical="center" wrapText="1"/>
    </xf>
    <xf numFmtId="178" fontId="22" fillId="4" borderId="53" xfId="0" applyNumberFormat="1" applyFont="1" applyFill="1" applyBorder="1" applyAlignment="1">
      <alignment horizontal="center" vertical="center" wrapText="1"/>
    </xf>
    <xf numFmtId="178" fontId="22" fillId="4" borderId="7" xfId="0" applyNumberFormat="1" applyFont="1" applyFill="1" applyBorder="1" applyAlignment="1">
      <alignment horizontal="center" vertical="center" wrapText="1"/>
    </xf>
    <xf numFmtId="0" fontId="15" fillId="3" borderId="45" xfId="0" applyFont="1" applyFill="1" applyBorder="1" applyAlignment="1" applyProtection="1">
      <alignment horizontal="center" vertical="center" wrapText="1"/>
      <protection locked="0"/>
    </xf>
    <xf numFmtId="0" fontId="15" fillId="3" borderId="71" xfId="0" applyFont="1" applyFill="1" applyBorder="1" applyAlignment="1" applyProtection="1">
      <alignment horizontal="center" vertical="center" wrapText="1"/>
      <protection locked="0"/>
    </xf>
    <xf numFmtId="0" fontId="15" fillId="3" borderId="59" xfId="0" applyFont="1" applyFill="1" applyBorder="1" applyAlignment="1" applyProtection="1">
      <alignment horizontal="center" vertical="center" wrapText="1"/>
      <protection locked="0"/>
    </xf>
    <xf numFmtId="178" fontId="22" fillId="4" borderId="56" xfId="0" applyNumberFormat="1" applyFont="1" applyFill="1" applyBorder="1" applyAlignment="1">
      <alignment horizontal="center" vertical="center" wrapText="1"/>
    </xf>
    <xf numFmtId="178" fontId="22" fillId="4" borderId="118" xfId="0" applyNumberFormat="1" applyFont="1" applyFill="1" applyBorder="1" applyAlignment="1">
      <alignment horizontal="center" vertical="center" wrapText="1"/>
    </xf>
    <xf numFmtId="178" fontId="22" fillId="4" borderId="52" xfId="0" applyNumberFormat="1" applyFont="1" applyFill="1" applyBorder="1" applyAlignment="1">
      <alignment horizontal="center" vertical="center" wrapText="1"/>
    </xf>
    <xf numFmtId="178" fontId="22" fillId="4" borderId="113"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3" xfId="0" applyFont="1" applyFill="1" applyBorder="1" applyAlignment="1">
      <alignment horizontal="center" vertical="center"/>
    </xf>
    <xf numFmtId="181" fontId="6" fillId="6" borderId="1" xfId="0" applyNumberFormat="1" applyFont="1" applyFill="1" applyBorder="1" applyAlignment="1">
      <alignment horizontal="center" vertical="center"/>
    </xf>
    <xf numFmtId="0" fontId="6" fillId="0" borderId="20" xfId="1" applyFont="1" applyFill="1" applyBorder="1" applyAlignment="1" applyProtection="1">
      <alignment horizontal="center"/>
    </xf>
    <xf numFmtId="0" fontId="6" fillId="0" borderId="25" xfId="1" applyFont="1" applyFill="1" applyBorder="1" applyAlignment="1" applyProtection="1">
      <alignment horizontal="center"/>
    </xf>
    <xf numFmtId="0" fontId="0" fillId="0" borderId="20" xfId="0" applyBorder="1" applyAlignment="1">
      <alignment horizontal="center"/>
    </xf>
    <xf numFmtId="0" fontId="6" fillId="0" borderId="25" xfId="0" applyFont="1" applyBorder="1" applyAlignment="1">
      <alignment horizontal="center"/>
    </xf>
    <xf numFmtId="0" fontId="6" fillId="0" borderId="33" xfId="1" applyFont="1" applyFill="1" applyBorder="1" applyAlignment="1" applyProtection="1">
      <alignment horizontal="center"/>
    </xf>
    <xf numFmtId="0" fontId="0" fillId="0" borderId="25" xfId="0" applyBorder="1" applyAlignment="1">
      <alignment horizontal="center"/>
    </xf>
    <xf numFmtId="0" fontId="6" fillId="0" borderId="20" xfId="0" applyFont="1" applyBorder="1" applyAlignment="1">
      <alignment horizontal="center"/>
    </xf>
    <xf numFmtId="0" fontId="0" fillId="3" borderId="21" xfId="0" applyFill="1" applyBorder="1" applyAlignment="1" applyProtection="1">
      <alignment horizontal="center" vertical="center" wrapText="1"/>
      <protection locked="0"/>
    </xf>
    <xf numFmtId="0" fontId="0" fillId="3" borderId="61"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65" xfId="0" applyFill="1" applyBorder="1" applyAlignment="1" applyProtection="1">
      <alignment horizontal="center" vertical="center" wrapText="1"/>
      <protection locked="0"/>
    </xf>
    <xf numFmtId="0" fontId="45" fillId="6" borderId="62" xfId="0" applyFont="1" applyFill="1" applyBorder="1" applyAlignment="1">
      <alignment horizontal="center" shrinkToFit="1"/>
    </xf>
    <xf numFmtId="0" fontId="45" fillId="6" borderId="64" xfId="0" applyFont="1" applyFill="1" applyBorder="1" applyAlignment="1">
      <alignment horizontal="center" shrinkToFit="1"/>
    </xf>
    <xf numFmtId="177" fontId="6" fillId="6" borderId="12" xfId="0" applyNumberFormat="1" applyFont="1" applyFill="1" applyBorder="1" applyAlignment="1">
      <alignment horizontal="center"/>
    </xf>
    <xf numFmtId="0" fontId="6" fillId="6" borderId="13" xfId="0" applyFont="1" applyFill="1" applyBorder="1" applyAlignment="1">
      <alignment horizontal="center"/>
    </xf>
    <xf numFmtId="0" fontId="6" fillId="3" borderId="117" xfId="0" applyFont="1" applyFill="1" applyBorder="1" applyAlignment="1" applyProtection="1">
      <alignment horizontal="center" shrinkToFit="1"/>
      <protection locked="0"/>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5" fillId="0" borderId="21" xfId="0" applyFont="1" applyBorder="1" applyAlignment="1">
      <alignment horizontal="center" vertical="top" wrapText="1"/>
    </xf>
    <xf numFmtId="0" fontId="15" fillId="0" borderId="61" xfId="0" applyFont="1" applyBorder="1" applyAlignment="1">
      <alignment horizontal="center" vertical="top" wrapText="1"/>
    </xf>
    <xf numFmtId="0" fontId="15" fillId="0" borderId="29" xfId="0" applyFont="1" applyBorder="1" applyAlignment="1">
      <alignment horizontal="center" vertical="top" wrapText="1"/>
    </xf>
    <xf numFmtId="0" fontId="15" fillId="0" borderId="0" xfId="0" applyFont="1" applyAlignment="1">
      <alignment horizontal="center" vertical="top" wrapText="1"/>
    </xf>
    <xf numFmtId="0" fontId="15" fillId="0" borderId="32" xfId="0" applyFont="1" applyBorder="1" applyAlignment="1">
      <alignment horizontal="center" vertical="top" wrapText="1"/>
    </xf>
    <xf numFmtId="0" fontId="15" fillId="0" borderId="30" xfId="0" applyFont="1" applyBorder="1" applyAlignment="1">
      <alignment horizontal="center" vertical="top" wrapText="1"/>
    </xf>
    <xf numFmtId="0" fontId="7" fillId="0" borderId="29" xfId="0" applyFont="1" applyBorder="1" applyAlignment="1">
      <alignment vertical="top" wrapText="1"/>
    </xf>
    <xf numFmtId="0" fontId="7" fillId="0" borderId="0" xfId="0" applyFont="1" applyAlignment="1">
      <alignment vertical="top" wrapText="1"/>
    </xf>
    <xf numFmtId="0" fontId="7" fillId="0" borderId="29" xfId="0" applyFont="1" applyBorder="1" applyAlignment="1">
      <alignment horizontal="left" vertical="top" wrapText="1"/>
    </xf>
    <xf numFmtId="0" fontId="7" fillId="0" borderId="0" xfId="0" applyFont="1" applyAlignment="1">
      <alignment horizontal="left" vertical="top" wrapText="1"/>
    </xf>
    <xf numFmtId="180" fontId="7" fillId="4" borderId="52" xfId="0" applyNumberFormat="1" applyFont="1" applyFill="1" applyBorder="1" applyAlignment="1">
      <alignment horizontal="center" vertical="top" wrapText="1"/>
    </xf>
    <xf numFmtId="180" fontId="7" fillId="4" borderId="113" xfId="0" applyNumberFormat="1" applyFont="1" applyFill="1" applyBorder="1" applyAlignment="1">
      <alignment horizontal="center" vertical="top" wrapText="1"/>
    </xf>
    <xf numFmtId="0" fontId="0" fillId="0" borderId="112" xfId="0" applyBorder="1" applyAlignment="1">
      <alignment horizontal="center" vertical="center"/>
    </xf>
    <xf numFmtId="0" fontId="0" fillId="0" borderId="52" xfId="0" applyBorder="1" applyAlignment="1">
      <alignment horizontal="center" vertical="center"/>
    </xf>
    <xf numFmtId="182" fontId="20" fillId="4" borderId="52" xfId="0" applyNumberFormat="1" applyFont="1" applyFill="1" applyBorder="1" applyAlignment="1">
      <alignment horizontal="center" vertical="center"/>
    </xf>
    <xf numFmtId="0" fontId="64" fillId="0" borderId="6" xfId="0" applyFont="1" applyBorder="1" applyAlignment="1">
      <alignment horizontal="left" shrinkToFit="1"/>
    </xf>
    <xf numFmtId="0" fontId="64" fillId="0" borderId="1" xfId="0" applyFont="1" applyBorder="1" applyAlignment="1">
      <alignment horizontal="left" shrinkToFit="1"/>
    </xf>
    <xf numFmtId="0" fontId="64" fillId="0" borderId="7" xfId="0" applyFont="1" applyBorder="1" applyAlignment="1">
      <alignment horizontal="left" shrinkToFit="1"/>
    </xf>
    <xf numFmtId="0" fontId="0" fillId="0" borderId="0" xfId="0" applyAlignment="1">
      <alignment horizontal="center" wrapText="1"/>
    </xf>
    <xf numFmtId="0" fontId="0" fillId="0" borderId="1" xfId="0" applyBorder="1" applyAlignment="1">
      <alignment horizontal="center" vertical="center" wrapText="1"/>
    </xf>
    <xf numFmtId="0" fontId="43" fillId="2" borderId="1" xfId="0" applyFont="1" applyFill="1" applyBorder="1" applyAlignment="1">
      <alignment horizontal="center" vertical="center" wrapText="1"/>
    </xf>
    <xf numFmtId="0" fontId="0" fillId="2" borderId="50" xfId="0" applyFill="1" applyBorder="1" applyAlignment="1">
      <alignment horizontal="left" vertical="top"/>
    </xf>
    <xf numFmtId="0" fontId="0" fillId="2" borderId="3" xfId="0" applyFill="1" applyBorder="1" applyAlignment="1">
      <alignment horizontal="left" vertical="top"/>
    </xf>
    <xf numFmtId="0" fontId="0" fillId="2" borderId="46" xfId="0" applyFill="1" applyBorder="1" applyAlignment="1">
      <alignment horizontal="left" vertical="top"/>
    </xf>
    <xf numFmtId="0" fontId="6" fillId="2" borderId="50" xfId="0" applyFont="1" applyFill="1" applyBorder="1" applyAlignment="1">
      <alignment horizontal="left" vertical="top"/>
    </xf>
    <xf numFmtId="0" fontId="6" fillId="2" borderId="112" xfId="0" applyFont="1" applyFill="1" applyBorder="1" applyAlignment="1">
      <alignment horizontal="left" vertical="top"/>
    </xf>
    <xf numFmtId="0" fontId="0" fillId="2" borderId="52" xfId="0" applyFill="1" applyBorder="1" applyAlignment="1">
      <alignment horizontal="left" vertical="top"/>
    </xf>
    <xf numFmtId="0" fontId="0" fillId="2" borderId="47" xfId="0" applyFill="1" applyBorder="1" applyAlignment="1">
      <alignment horizontal="left" vertical="top"/>
    </xf>
    <xf numFmtId="0" fontId="0" fillId="2" borderId="0" xfId="0" applyFill="1" applyAlignment="1">
      <alignment horizontal="left" vertical="top" wrapText="1"/>
    </xf>
    <xf numFmtId="0" fontId="24" fillId="2" borderId="0" xfId="0" applyFont="1" applyFill="1" applyAlignment="1">
      <alignment horizontal="left" vertical="top" wrapText="1"/>
    </xf>
    <xf numFmtId="0" fontId="24" fillId="2" borderId="0" xfId="0" applyFont="1" applyFill="1" applyAlignment="1">
      <alignment horizontal="center" vertical="top" wrapText="1"/>
    </xf>
    <xf numFmtId="0" fontId="6" fillId="2" borderId="6" xfId="0" applyFont="1" applyFill="1" applyBorder="1" applyAlignment="1">
      <alignment horizontal="left" wrapText="1"/>
    </xf>
    <xf numFmtId="0" fontId="0" fillId="2" borderId="1" xfId="0" applyFill="1" applyBorder="1" applyAlignment="1">
      <alignment horizontal="left" wrapText="1"/>
    </xf>
    <xf numFmtId="0" fontId="0" fillId="2" borderId="12" xfId="0" applyFill="1" applyBorder="1" applyAlignment="1">
      <alignment horizontal="left" wrapText="1"/>
    </xf>
    <xf numFmtId="0" fontId="0" fillId="2" borderId="34" xfId="0" applyFill="1" applyBorder="1" applyAlignment="1">
      <alignment horizontal="center"/>
    </xf>
    <xf numFmtId="0" fontId="0" fillId="2" borderId="38" xfId="0" applyFill="1" applyBorder="1" applyAlignment="1">
      <alignment horizontal="center"/>
    </xf>
    <xf numFmtId="0" fontId="6" fillId="2" borderId="20" xfId="0" applyFont="1" applyFill="1" applyBorder="1" applyAlignment="1">
      <alignment horizontal="center"/>
    </xf>
    <xf numFmtId="0" fontId="6" fillId="2" borderId="25" xfId="0" applyFont="1" applyFill="1" applyBorder="1" applyAlignment="1">
      <alignment horizontal="center"/>
    </xf>
    <xf numFmtId="0" fontId="6" fillId="2" borderId="33" xfId="0" applyFont="1" applyFill="1" applyBorder="1" applyAlignment="1">
      <alignment horizontal="center"/>
    </xf>
    <xf numFmtId="0" fontId="26" fillId="2" borderId="20" xfId="0" applyFont="1" applyFill="1" applyBorder="1" applyAlignment="1">
      <alignment horizontal="center" vertical="center"/>
    </xf>
    <xf numFmtId="0" fontId="26" fillId="2" borderId="25" xfId="0" applyFont="1" applyFill="1" applyBorder="1" applyAlignment="1">
      <alignment horizontal="center" vertical="center"/>
    </xf>
    <xf numFmtId="0" fontId="6" fillId="2" borderId="0" xfId="0" applyFont="1" applyFill="1" applyAlignment="1">
      <alignment horizontal="left"/>
    </xf>
    <xf numFmtId="0" fontId="26" fillId="2" borderId="32" xfId="0" applyFont="1" applyFill="1" applyBorder="1" applyAlignment="1">
      <alignment horizontal="center" vertical="center"/>
    </xf>
    <xf numFmtId="0" fontId="26" fillId="2" borderId="30" xfId="0" applyFont="1" applyFill="1" applyBorder="1" applyAlignment="1">
      <alignment horizontal="center" vertical="center"/>
    </xf>
    <xf numFmtId="0" fontId="0" fillId="2" borderId="20" xfId="0" applyFill="1" applyBorder="1" applyAlignment="1">
      <alignment horizontal="left"/>
    </xf>
    <xf numFmtId="0" fontId="0" fillId="2" borderId="25" xfId="0" applyFill="1" applyBorder="1" applyAlignment="1">
      <alignment horizontal="left"/>
    </xf>
    <xf numFmtId="0" fontId="0" fillId="2" borderId="33" xfId="0" applyFill="1" applyBorder="1" applyAlignment="1">
      <alignment horizontal="left"/>
    </xf>
    <xf numFmtId="0" fontId="40" fillId="2" borderId="1" xfId="0" applyFont="1" applyFill="1" applyBorder="1" applyAlignment="1">
      <alignment horizontal="center" vertical="center" wrapText="1"/>
    </xf>
    <xf numFmtId="0" fontId="6" fillId="2" borderId="20" xfId="0" applyFont="1" applyFill="1" applyBorder="1" applyAlignment="1">
      <alignment horizontal="left" wrapText="1"/>
    </xf>
    <xf numFmtId="0" fontId="6" fillId="2" borderId="25" xfId="0" applyFont="1" applyFill="1" applyBorder="1" applyAlignment="1">
      <alignment horizontal="left" wrapText="1"/>
    </xf>
    <xf numFmtId="0" fontId="6" fillId="2" borderId="33" xfId="0" applyFont="1" applyFill="1" applyBorder="1" applyAlignment="1">
      <alignment horizontal="left" wrapText="1"/>
    </xf>
    <xf numFmtId="0" fontId="0" fillId="2" borderId="6" xfId="0" applyFill="1" applyBorder="1" applyAlignment="1">
      <alignment horizontal="left" vertical="center" wrapText="1"/>
    </xf>
    <xf numFmtId="0" fontId="0" fillId="2" borderId="1" xfId="0" applyFill="1" applyBorder="1" applyAlignment="1">
      <alignment horizontal="left" vertical="center" wrapText="1"/>
    </xf>
    <xf numFmtId="0" fontId="0" fillId="2" borderId="7" xfId="0" applyFill="1" applyBorder="1" applyAlignment="1">
      <alignment horizontal="left" vertical="center" wrapText="1"/>
    </xf>
    <xf numFmtId="0" fontId="0" fillId="2" borderId="32" xfId="0" applyFill="1" applyBorder="1" applyAlignment="1">
      <alignment horizontal="center" vertical="center"/>
    </xf>
    <xf numFmtId="0" fontId="0" fillId="2" borderId="58" xfId="0" applyFill="1" applyBorder="1" applyAlignment="1">
      <alignment horizontal="center" vertical="center"/>
    </xf>
    <xf numFmtId="0" fontId="6" fillId="0" borderId="20" xfId="0" applyFont="1" applyBorder="1" applyAlignment="1">
      <alignment horizontal="center" vertical="center" wrapText="1"/>
    </xf>
    <xf numFmtId="0" fontId="0" fillId="2" borderId="30" xfId="0" applyFill="1" applyBorder="1" applyAlignment="1">
      <alignment horizontal="center"/>
    </xf>
    <xf numFmtId="0" fontId="6" fillId="2" borderId="21" xfId="0" applyFont="1" applyFill="1" applyBorder="1" applyAlignment="1">
      <alignment horizontal="center" vertical="center"/>
    </xf>
    <xf numFmtId="0" fontId="6" fillId="2" borderId="119"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26"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135"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9" fillId="2" borderId="122"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25"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0" fillId="2" borderId="22" xfId="0" applyFill="1" applyBorder="1" applyAlignment="1">
      <alignment horizontal="left"/>
    </xf>
    <xf numFmtId="0" fontId="0" fillId="2" borderId="39" xfId="0" applyFill="1" applyBorder="1" applyAlignment="1">
      <alignment horizontal="left"/>
    </xf>
    <xf numFmtId="0" fontId="0" fillId="2" borderId="104" xfId="0" applyFill="1" applyBorder="1" applyAlignment="1">
      <alignment horizontal="left"/>
    </xf>
    <xf numFmtId="0" fontId="26" fillId="2" borderId="16" xfId="0" applyFont="1" applyFill="1" applyBorder="1" applyAlignment="1">
      <alignment horizontal="center" vertical="center"/>
    </xf>
    <xf numFmtId="0" fontId="26" fillId="2" borderId="65" xfId="0" applyFont="1" applyFill="1" applyBorder="1" applyAlignment="1">
      <alignment horizontal="center" vertical="center"/>
    </xf>
    <xf numFmtId="0" fontId="0" fillId="2" borderId="24" xfId="0" applyFill="1" applyBorder="1" applyAlignment="1">
      <alignment horizontal="left" vertical="center" wrapText="1"/>
    </xf>
    <xf numFmtId="0" fontId="0" fillId="2" borderId="134" xfId="0" applyFill="1" applyBorder="1" applyAlignment="1">
      <alignment horizontal="left" vertical="center" wrapText="1"/>
    </xf>
    <xf numFmtId="0" fontId="0" fillId="2" borderId="23" xfId="0" applyFill="1" applyBorder="1" applyAlignment="1">
      <alignment horizontal="left" vertical="center" wrapText="1"/>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0" fillId="2" borderId="62" xfId="0" applyFill="1" applyBorder="1" applyAlignment="1">
      <alignment horizontal="left" vertical="center" wrapText="1"/>
    </xf>
    <xf numFmtId="0" fontId="0" fillId="2" borderId="63" xfId="0" applyFill="1" applyBorder="1" applyAlignment="1">
      <alignment horizontal="left" vertical="center" wrapText="1"/>
    </xf>
    <xf numFmtId="0" fontId="0" fillId="2" borderId="64"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9" xfId="0" applyFill="1" applyBorder="1" applyAlignment="1">
      <alignment horizontal="left" vertical="center" wrapText="1"/>
    </xf>
    <xf numFmtId="0" fontId="6" fillId="2" borderId="0" xfId="0" applyFont="1" applyFill="1" applyAlignment="1">
      <alignment horizontal="left" vertical="top" wrapText="1"/>
    </xf>
    <xf numFmtId="0" fontId="0" fillId="2" borderId="65" xfId="0" applyFill="1" applyBorder="1" applyAlignment="1">
      <alignment horizont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left" vertical="center" shrinkToFit="1"/>
    </xf>
    <xf numFmtId="0" fontId="26" fillId="2" borderId="22" xfId="0" applyFont="1" applyFill="1" applyBorder="1" applyAlignment="1">
      <alignment horizontal="center" vertical="top"/>
    </xf>
    <xf numFmtId="0" fontId="26" fillId="2" borderId="39" xfId="0" applyFont="1" applyFill="1" applyBorder="1" applyAlignment="1">
      <alignment horizontal="center" vertical="top"/>
    </xf>
    <xf numFmtId="0" fontId="26" fillId="2" borderId="19" xfId="0" applyFont="1" applyFill="1" applyBorder="1" applyAlignment="1">
      <alignment horizontal="center" vertical="top"/>
    </xf>
    <xf numFmtId="0" fontId="26" fillId="2" borderId="71" xfId="0" applyFont="1" applyFill="1" applyBorder="1" applyAlignment="1">
      <alignment horizontal="center" vertical="top"/>
    </xf>
    <xf numFmtId="0" fontId="26" fillId="2" borderId="20" xfId="0" applyFont="1" applyFill="1" applyBorder="1" applyAlignment="1">
      <alignment horizontal="center" vertical="top"/>
    </xf>
    <xf numFmtId="0" fontId="26" fillId="2" borderId="25" xfId="0" applyFont="1" applyFill="1" applyBorder="1" applyAlignment="1">
      <alignment horizontal="center" vertical="top"/>
    </xf>
    <xf numFmtId="0" fontId="6" fillId="2" borderId="20" xfId="0" applyFont="1" applyFill="1" applyBorder="1" applyAlignment="1">
      <alignment horizontal="center" vertical="top"/>
    </xf>
    <xf numFmtId="0" fontId="0" fillId="2" borderId="25" xfId="0" applyFill="1" applyBorder="1" applyAlignment="1">
      <alignment horizontal="center" vertical="top"/>
    </xf>
    <xf numFmtId="0" fontId="0" fillId="2" borderId="29" xfId="0" applyFill="1" applyBorder="1" applyAlignment="1">
      <alignment horizontal="center" vertical="center"/>
    </xf>
    <xf numFmtId="0" fontId="0" fillId="2" borderId="72" xfId="0" applyFill="1" applyBorder="1" applyAlignment="1">
      <alignment horizontal="center" vertical="center"/>
    </xf>
    <xf numFmtId="0" fontId="15" fillId="0" borderId="20" xfId="0" applyFont="1" applyBorder="1" applyAlignment="1">
      <alignment horizontal="left" vertical="center" wrapText="1"/>
    </xf>
    <xf numFmtId="0" fontId="15" fillId="0" borderId="25" xfId="0" applyFont="1" applyBorder="1" applyAlignment="1">
      <alignment horizontal="left" vertical="center" wrapText="1"/>
    </xf>
    <xf numFmtId="0" fontId="15" fillId="0" borderId="33" xfId="0" applyFont="1" applyBorder="1" applyAlignment="1">
      <alignment horizontal="left" vertical="center" wrapText="1"/>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0" fillId="2" borderId="8" xfId="0" applyFill="1" applyBorder="1" applyAlignment="1">
      <alignment horizontal="left"/>
    </xf>
    <xf numFmtId="0" fontId="0" fillId="2" borderId="11" xfId="0" applyFill="1" applyBorder="1" applyAlignment="1">
      <alignment horizontal="left"/>
    </xf>
    <xf numFmtId="0" fontId="0" fillId="2" borderId="9" xfId="0" applyFill="1" applyBorder="1" applyAlignment="1">
      <alignment horizontal="left"/>
    </xf>
    <xf numFmtId="0" fontId="0" fillId="2" borderId="6" xfId="0" applyFill="1" applyBorder="1" applyAlignment="1">
      <alignment horizontal="left"/>
    </xf>
    <xf numFmtId="0" fontId="0" fillId="2" borderId="1"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0" xfId="0" applyFill="1" applyBorder="1" applyAlignment="1">
      <alignment horizontal="left" vertical="center" wrapText="1"/>
    </xf>
    <xf numFmtId="0" fontId="0" fillId="2" borderId="25" xfId="0" applyFill="1" applyBorder="1" applyAlignment="1">
      <alignment horizontal="left" vertical="center" wrapText="1"/>
    </xf>
    <xf numFmtId="0" fontId="0" fillId="2" borderId="33" xfId="0" applyFill="1" applyBorder="1" applyAlignment="1">
      <alignment horizontal="left" vertical="center" wrapText="1"/>
    </xf>
    <xf numFmtId="0" fontId="40" fillId="2" borderId="1" xfId="0" applyFont="1" applyFill="1" applyBorder="1" applyAlignment="1">
      <alignment vertical="center" wrapText="1"/>
    </xf>
    <xf numFmtId="0" fontId="42" fillId="2" borderId="1" xfId="0" applyFont="1" applyFill="1" applyBorder="1" applyAlignment="1">
      <alignment horizontal="left" vertical="center" wrapText="1"/>
    </xf>
    <xf numFmtId="0" fontId="41" fillId="2" borderId="1"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6" fillId="2" borderId="22" xfId="0" applyFont="1" applyFill="1" applyBorder="1" applyAlignment="1">
      <alignment horizontal="left" wrapText="1"/>
    </xf>
    <xf numFmtId="0" fontId="6" fillId="2" borderId="39" xfId="0" applyFont="1" applyFill="1" applyBorder="1" applyAlignment="1">
      <alignment horizontal="left" wrapText="1"/>
    </xf>
    <xf numFmtId="0" fontId="6" fillId="2" borderId="104" xfId="0" applyFont="1" applyFill="1" applyBorder="1" applyAlignment="1">
      <alignment horizontal="left" wrapText="1"/>
    </xf>
    <xf numFmtId="0" fontId="0" fillId="2" borderId="16" xfId="0" applyFill="1" applyBorder="1" applyAlignment="1">
      <alignment horizontal="left"/>
    </xf>
    <xf numFmtId="0" fontId="0" fillId="2" borderId="65" xfId="0" applyFill="1" applyBorder="1" applyAlignment="1">
      <alignment horizontal="left"/>
    </xf>
    <xf numFmtId="0" fontId="0" fillId="2" borderId="66" xfId="0" applyFill="1" applyBorder="1" applyAlignment="1">
      <alignment horizontal="left"/>
    </xf>
    <xf numFmtId="0" fontId="0" fillId="2" borderId="50" xfId="0" applyFill="1" applyBorder="1" applyAlignment="1">
      <alignment horizontal="left" vertical="center" wrapText="1"/>
    </xf>
    <xf numFmtId="0" fontId="0" fillId="2" borderId="3" xfId="0" applyFill="1" applyBorder="1" applyAlignment="1">
      <alignment horizontal="left" vertical="center" wrapText="1"/>
    </xf>
    <xf numFmtId="0" fontId="0" fillId="2" borderId="53" xfId="0" applyFill="1" applyBorder="1" applyAlignment="1">
      <alignment horizontal="left" vertical="center" wrapText="1"/>
    </xf>
    <xf numFmtId="0" fontId="0" fillId="2" borderId="34" xfId="0" applyFill="1" applyBorder="1" applyAlignment="1">
      <alignment horizontal="left" vertical="top" wrapText="1"/>
    </xf>
    <xf numFmtId="0" fontId="0" fillId="2" borderId="38" xfId="0" applyFill="1" applyBorder="1" applyAlignment="1">
      <alignment horizontal="left" vertical="top" wrapText="1"/>
    </xf>
    <xf numFmtId="0" fontId="0" fillId="2" borderId="68" xfId="0" applyFill="1" applyBorder="1" applyAlignment="1">
      <alignment horizontal="left" vertical="top" wrapText="1"/>
    </xf>
    <xf numFmtId="0" fontId="0" fillId="2" borderId="105" xfId="0" applyFill="1" applyBorder="1" applyAlignment="1">
      <alignment horizontal="center"/>
    </xf>
    <xf numFmtId="0" fontId="0" fillId="2" borderId="106" xfId="0" applyFill="1" applyBorder="1" applyAlignment="1">
      <alignment horizont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1"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58" fillId="2" borderId="0" xfId="0" applyFont="1" applyFill="1" applyAlignment="1">
      <alignment horizontal="center" shrinkToFit="1"/>
    </xf>
    <xf numFmtId="0" fontId="6" fillId="0" borderId="0" xfId="0" applyFont="1" applyAlignment="1">
      <alignment horizontal="center"/>
    </xf>
    <xf numFmtId="0" fontId="6" fillId="2" borderId="8" xfId="0" applyFont="1" applyFill="1" applyBorder="1" applyAlignment="1">
      <alignment horizontal="left"/>
    </xf>
    <xf numFmtId="0" fontId="6" fillId="2" borderId="11" xfId="0" applyFont="1" applyFill="1" applyBorder="1" applyAlignment="1">
      <alignment horizontal="left"/>
    </xf>
    <xf numFmtId="0" fontId="6" fillId="2" borderId="9" xfId="0" applyFont="1" applyFill="1" applyBorder="1" applyAlignment="1">
      <alignment horizontal="left"/>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left"/>
    </xf>
    <xf numFmtId="0" fontId="6" fillId="0" borderId="50" xfId="0" applyFont="1" applyBorder="1" applyAlignment="1">
      <alignment horizontal="left" vertical="center"/>
    </xf>
    <xf numFmtId="0" fontId="6" fillId="0" borderId="3" xfId="0" applyFont="1" applyBorder="1" applyAlignment="1">
      <alignment horizontal="left" vertical="center"/>
    </xf>
    <xf numFmtId="0" fontId="6" fillId="0" borderId="46" xfId="0" applyFont="1" applyBorder="1" applyAlignment="1">
      <alignment horizontal="left" vertical="center"/>
    </xf>
    <xf numFmtId="0" fontId="6" fillId="0" borderId="53" xfId="0" applyFont="1" applyBorder="1" applyAlignment="1">
      <alignment horizontal="left" vertical="center"/>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0" fillId="2" borderId="43" xfId="0" applyFill="1" applyBorder="1" applyAlignment="1">
      <alignment horizontal="left"/>
    </xf>
    <xf numFmtId="0" fontId="6" fillId="0" borderId="50" xfId="0" applyFont="1" applyBorder="1" applyAlignment="1">
      <alignment horizontal="left" vertical="top"/>
    </xf>
    <xf numFmtId="0" fontId="6" fillId="0" borderId="3" xfId="0" applyFont="1" applyBorder="1" applyAlignment="1">
      <alignment horizontal="left" vertical="top"/>
    </xf>
    <xf numFmtId="0" fontId="6" fillId="0" borderId="46" xfId="0" applyFont="1" applyBorder="1" applyAlignment="1">
      <alignment horizontal="left" vertical="top"/>
    </xf>
    <xf numFmtId="0" fontId="6" fillId="0" borderId="62" xfId="0" applyFont="1" applyBorder="1" applyAlignment="1">
      <alignment horizontal="center"/>
    </xf>
    <xf numFmtId="0" fontId="6" fillId="0" borderId="63" xfId="0" applyFont="1" applyBorder="1" applyAlignment="1">
      <alignment horizontal="center"/>
    </xf>
    <xf numFmtId="0" fontId="6" fillId="0" borderId="55" xfId="0" applyFont="1" applyBorder="1" applyAlignment="1">
      <alignment horizontal="center"/>
    </xf>
    <xf numFmtId="0" fontId="15" fillId="2" borderId="0" xfId="0" applyFont="1" applyFill="1" applyAlignment="1">
      <alignment horizontal="left" vertical="top" wrapText="1"/>
    </xf>
    <xf numFmtId="0" fontId="39" fillId="2" borderId="1"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11" xfId="0" applyFont="1" applyFill="1" applyBorder="1" applyAlignment="1">
      <alignment horizontal="left" vertical="center"/>
    </xf>
    <xf numFmtId="0" fontId="6" fillId="2" borderId="9" xfId="0" applyFont="1" applyFill="1" applyBorder="1" applyAlignment="1">
      <alignment horizontal="left" vertical="center"/>
    </xf>
    <xf numFmtId="0" fontId="26" fillId="2" borderId="19" xfId="0" applyFont="1" applyFill="1" applyBorder="1" applyAlignment="1">
      <alignment horizontal="center" vertical="center"/>
    </xf>
    <xf numFmtId="0" fontId="26" fillId="2" borderId="71" xfId="0" applyFont="1" applyFill="1" applyBorder="1" applyAlignment="1">
      <alignment horizontal="center" vertical="center"/>
    </xf>
    <xf numFmtId="0" fontId="0" fillId="2" borderId="4" xfId="0" applyFill="1" applyBorder="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center" wrapText="1"/>
    </xf>
    <xf numFmtId="0" fontId="6" fillId="2" borderId="6" xfId="0" applyFont="1" applyFill="1" applyBorder="1" applyAlignment="1">
      <alignment horizontal="left" vertical="top"/>
    </xf>
    <xf numFmtId="0" fontId="0" fillId="2" borderId="1" xfId="0" applyFill="1" applyBorder="1" applyAlignment="1">
      <alignment horizontal="left" vertical="top"/>
    </xf>
    <xf numFmtId="0" fontId="0" fillId="2" borderId="12" xfId="0" applyFill="1" applyBorder="1" applyAlignment="1">
      <alignment horizontal="left" vertical="top"/>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2" borderId="41" xfId="0" applyFont="1" applyFill="1" applyBorder="1" applyAlignment="1">
      <alignment horizontal="center" vertical="center" wrapText="1"/>
    </xf>
    <xf numFmtId="0" fontId="0" fillId="2" borderId="50" xfId="0" applyFill="1" applyBorder="1" applyAlignment="1">
      <alignment horizontal="left"/>
    </xf>
    <xf numFmtId="0" fontId="0" fillId="2" borderId="3" xfId="0" applyFill="1" applyBorder="1" applyAlignment="1">
      <alignment horizontal="left"/>
    </xf>
    <xf numFmtId="0" fontId="0" fillId="2" borderId="53" xfId="0" applyFill="1" applyBorder="1" applyAlignment="1">
      <alignment horizontal="left"/>
    </xf>
    <xf numFmtId="0" fontId="15" fillId="0" borderId="36" xfId="0" applyFont="1" applyBorder="1" applyAlignment="1">
      <alignment horizontal="left" vertical="top" wrapText="1"/>
    </xf>
    <xf numFmtId="0" fontId="0" fillId="2" borderId="62" xfId="0" applyFill="1" applyBorder="1" applyAlignment="1">
      <alignment horizontal="center"/>
    </xf>
    <xf numFmtId="0" fontId="0" fillId="2" borderId="63" xfId="0" applyFill="1" applyBorder="1" applyAlignment="1">
      <alignment horizontal="center"/>
    </xf>
    <xf numFmtId="0" fontId="0" fillId="2" borderId="55" xfId="0" applyFill="1" applyBorder="1" applyAlignment="1">
      <alignment horizontal="center"/>
    </xf>
    <xf numFmtId="0" fontId="0" fillId="2" borderId="107" xfId="0" applyFill="1" applyBorder="1" applyAlignment="1">
      <alignment horizontal="left" vertical="center"/>
    </xf>
    <xf numFmtId="0" fontId="0" fillId="2" borderId="108" xfId="0" applyFill="1" applyBorder="1" applyAlignment="1">
      <alignment horizontal="left" vertical="center"/>
    </xf>
    <xf numFmtId="0" fontId="6" fillId="2" borderId="0" xfId="0" applyFont="1" applyFill="1" applyAlignment="1">
      <alignment horizontal="left" wrapText="1"/>
    </xf>
    <xf numFmtId="0" fontId="0" fillId="2" borderId="62"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6" fillId="2" borderId="32"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7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4"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35" xfId="0" applyFill="1" applyBorder="1" applyAlignment="1">
      <alignment horizontal="left" vertical="top" wrapText="1"/>
    </xf>
  </cellXfs>
  <cellStyles count="3">
    <cellStyle name="ハイパーリンク" xfId="2" builtinId="8"/>
    <cellStyle name="悪い" xfId="1" builtinId="27"/>
    <cellStyle name="標準" xfId="0" builtinId="0"/>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W$62" lockText="1" noThreeD="1"/>
</file>

<file path=xl/ctrlProps/ctrlProp10.xml><?xml version="1.0" encoding="utf-8"?>
<formControlPr xmlns="http://schemas.microsoft.com/office/spreadsheetml/2009/9/main" objectType="CheckBox" fmlaLink="$W$8" lockText="1" noThreeD="1"/>
</file>

<file path=xl/ctrlProps/ctrlProp11.xml><?xml version="1.0" encoding="utf-8"?>
<formControlPr xmlns="http://schemas.microsoft.com/office/spreadsheetml/2009/9/main" objectType="CheckBox" fmlaLink="$W$9" lockText="1" noThreeD="1"/>
</file>

<file path=xl/ctrlProps/ctrlProp12.xml><?xml version="1.0" encoding="utf-8"?>
<formControlPr xmlns="http://schemas.microsoft.com/office/spreadsheetml/2009/9/main" objectType="CheckBox" fmlaLink="$W$10" lockText="1" noThreeD="1"/>
</file>

<file path=xl/ctrlProps/ctrlProp13.xml><?xml version="1.0" encoding="utf-8"?>
<formControlPr xmlns="http://schemas.microsoft.com/office/spreadsheetml/2009/9/main" objectType="CheckBox" fmlaLink="$W$62" lockText="1" noThreeD="1"/>
</file>

<file path=xl/ctrlProps/ctrlProp14.xml><?xml version="1.0" encoding="utf-8"?>
<formControlPr xmlns="http://schemas.microsoft.com/office/spreadsheetml/2009/9/main" objectType="CheckBox" fmlaLink="$W$77" lockText="1" noThreeD="1"/>
</file>

<file path=xl/ctrlProps/ctrlProp15.xml><?xml version="1.0" encoding="utf-8"?>
<formControlPr xmlns="http://schemas.microsoft.com/office/spreadsheetml/2009/9/main" objectType="CheckBox" fmlaLink="$W$52" lockText="1" noThreeD="1"/>
</file>

<file path=xl/ctrlProps/ctrlProp16.xml><?xml version="1.0" encoding="utf-8"?>
<formControlPr xmlns="http://schemas.microsoft.com/office/spreadsheetml/2009/9/main" objectType="CheckBox" fmlaLink="$W$8" lockText="1" noThreeD="1"/>
</file>

<file path=xl/ctrlProps/ctrlProp17.xml><?xml version="1.0" encoding="utf-8"?>
<formControlPr xmlns="http://schemas.microsoft.com/office/spreadsheetml/2009/9/main" objectType="CheckBox" fmlaLink="$W$9" lockText="1" noThreeD="1"/>
</file>

<file path=xl/ctrlProps/ctrlProp18.xml><?xml version="1.0" encoding="utf-8"?>
<formControlPr xmlns="http://schemas.microsoft.com/office/spreadsheetml/2009/9/main" objectType="CheckBox" fmlaLink="$W$10" lockText="1" noThreeD="1"/>
</file>

<file path=xl/ctrlProps/ctrlProp2.xml><?xml version="1.0" encoding="utf-8"?>
<formControlPr xmlns="http://schemas.microsoft.com/office/spreadsheetml/2009/9/main" objectType="CheckBox" checked="Checked" fmlaLink="$W$77" lockText="1" noThreeD="1"/>
</file>

<file path=xl/ctrlProps/ctrlProp3.xml><?xml version="1.0" encoding="utf-8"?>
<formControlPr xmlns="http://schemas.microsoft.com/office/spreadsheetml/2009/9/main" objectType="CheckBox" checked="Checked" fmlaLink="$W$52" lockText="1" noThreeD="1"/>
</file>

<file path=xl/ctrlProps/ctrlProp4.xml><?xml version="1.0" encoding="utf-8"?>
<formControlPr xmlns="http://schemas.microsoft.com/office/spreadsheetml/2009/9/main" objectType="CheckBox" checked="Checked" fmlaLink="$W$8" lockText="1" noThreeD="1"/>
</file>

<file path=xl/ctrlProps/ctrlProp5.xml><?xml version="1.0" encoding="utf-8"?>
<formControlPr xmlns="http://schemas.microsoft.com/office/spreadsheetml/2009/9/main" objectType="CheckBox" fmlaLink="$W$9" lockText="1" noThreeD="1"/>
</file>

<file path=xl/ctrlProps/ctrlProp6.xml><?xml version="1.0" encoding="utf-8"?>
<formControlPr xmlns="http://schemas.microsoft.com/office/spreadsheetml/2009/9/main" objectType="CheckBox" fmlaLink="$W$10" lockText="1" noThreeD="1"/>
</file>

<file path=xl/ctrlProps/ctrlProp7.xml><?xml version="1.0" encoding="utf-8"?>
<formControlPr xmlns="http://schemas.microsoft.com/office/spreadsheetml/2009/9/main" objectType="CheckBox" fmlaLink="$W$61" lockText="1" noThreeD="1"/>
</file>

<file path=xl/ctrlProps/ctrlProp8.xml><?xml version="1.0" encoding="utf-8"?>
<formControlPr xmlns="http://schemas.microsoft.com/office/spreadsheetml/2009/9/main" objectType="CheckBox" fmlaLink="$W$72" lockText="1" noThreeD="1"/>
</file>

<file path=xl/ctrlProps/ctrlProp9.xml><?xml version="1.0" encoding="utf-8"?>
<formControlPr xmlns="http://schemas.microsoft.com/office/spreadsheetml/2009/9/main" objectType="CheckBox" fmlaLink="$W$5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1</xdr:col>
          <xdr:colOff>19050</xdr:colOff>
          <xdr:row>64</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77</xdr:row>
          <xdr:rowOff>28575</xdr:rowOff>
        </xdr:from>
        <xdr:to>
          <xdr:col>0</xdr:col>
          <xdr:colOff>266700</xdr:colOff>
          <xdr:row>78</xdr:row>
          <xdr:rowOff>38100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219075</xdr:rowOff>
        </xdr:from>
        <xdr:to>
          <xdr:col>1</xdr:col>
          <xdr:colOff>19050</xdr:colOff>
          <xdr:row>54</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352011</xdr:colOff>
      <xdr:row>52</xdr:row>
      <xdr:rowOff>155298</xdr:rowOff>
    </xdr:from>
    <xdr:to>
      <xdr:col>15</xdr:col>
      <xdr:colOff>284819</xdr:colOff>
      <xdr:row>60</xdr:row>
      <xdr:rowOff>168288</xdr:rowOff>
    </xdr:to>
    <xdr:pic>
      <xdr:nvPicPr>
        <xdr:cNvPr id="2" name="図 1">
          <a:extLst>
            <a:ext uri="{FF2B5EF4-FFF2-40B4-BE49-F238E27FC236}">
              <a16:creationId xmlns:a16="http://schemas.microsoft.com/office/drawing/2014/main" id="{F0A0FAF2-B4F7-42D5-8017-89A19A1E254A}"/>
            </a:ext>
          </a:extLst>
        </xdr:cNvPr>
        <xdr:cNvPicPr>
          <a:picLocks noChangeAspect="1"/>
        </xdr:cNvPicPr>
      </xdr:nvPicPr>
      <xdr:blipFill>
        <a:blip xmlns:r="http://schemas.openxmlformats.org/officeDocument/2006/relationships" r:embed="rId1"/>
        <a:stretch>
          <a:fillRect/>
        </a:stretch>
      </xdr:blipFill>
      <xdr:spPr>
        <a:xfrm>
          <a:off x="4933536" y="11061423"/>
          <a:ext cx="932933" cy="16893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7</xdr:row>
          <xdr:rowOff>180975</xdr:rowOff>
        </xdr:from>
        <xdr:to>
          <xdr:col>1</xdr:col>
          <xdr:colOff>66675</xdr:colOff>
          <xdr:row>9</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152400</xdr:rowOff>
        </xdr:from>
        <xdr:to>
          <xdr:col>8</xdr:col>
          <xdr:colOff>66675</xdr:colOff>
          <xdr:row>9</xdr:row>
          <xdr:rowOff>47625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xdr:row>
          <xdr:rowOff>0</xdr:rowOff>
        </xdr:from>
        <xdr:to>
          <xdr:col>12</xdr:col>
          <xdr:colOff>371475</xdr:colOff>
          <xdr:row>9</xdr:row>
          <xdr:rowOff>9525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176008</xdr:colOff>
      <xdr:row>10</xdr:row>
      <xdr:rowOff>31061</xdr:rowOff>
    </xdr:from>
    <xdr:to>
      <xdr:col>5</xdr:col>
      <xdr:colOff>328196</xdr:colOff>
      <xdr:row>12</xdr:row>
      <xdr:rowOff>165654</xdr:rowOff>
    </xdr:to>
    <xdr:sp macro="" textlink="">
      <xdr:nvSpPr>
        <xdr:cNvPr id="3" name="吹き出し: 角を丸めた四角形 2">
          <a:extLst>
            <a:ext uri="{FF2B5EF4-FFF2-40B4-BE49-F238E27FC236}">
              <a16:creationId xmlns:a16="http://schemas.microsoft.com/office/drawing/2014/main" id="{C509F0AB-09F5-4364-B194-99D9F7088057}"/>
            </a:ext>
          </a:extLst>
        </xdr:cNvPr>
        <xdr:cNvSpPr/>
      </xdr:nvSpPr>
      <xdr:spPr>
        <a:xfrm>
          <a:off x="455546" y="2101713"/>
          <a:ext cx="1725884" cy="569430"/>
        </a:xfrm>
        <a:prstGeom prst="wedgeRoundRectCallout">
          <a:avLst>
            <a:gd name="adj1" fmla="val 74490"/>
            <a:gd name="adj2" fmla="val 124127"/>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階高、最高高さー軒高さ</a:t>
          </a:r>
          <a:endParaRPr kumimoji="1" lang="en-US" altLang="ja-JP" sz="1100"/>
        </a:p>
        <a:p>
          <a:pPr algn="l"/>
          <a:r>
            <a:rPr kumimoji="1" lang="ja-JP" altLang="en-US" sz="1100"/>
            <a:t>を数値入力してください。</a:t>
          </a:r>
        </a:p>
      </xdr:txBody>
    </xdr:sp>
    <xdr:clientData/>
  </xdr:twoCellAnchor>
  <xdr:twoCellAnchor>
    <xdr:from>
      <xdr:col>7</xdr:col>
      <xdr:colOff>440</xdr:colOff>
      <xdr:row>13</xdr:row>
      <xdr:rowOff>201868</xdr:rowOff>
    </xdr:from>
    <xdr:to>
      <xdr:col>10</xdr:col>
      <xdr:colOff>15504</xdr:colOff>
      <xdr:row>16</xdr:row>
      <xdr:rowOff>165653</xdr:rowOff>
    </xdr:to>
    <xdr:sp macro="" textlink="">
      <xdr:nvSpPr>
        <xdr:cNvPr id="4" name="四角形: 角を丸くする 3">
          <a:extLst>
            <a:ext uri="{FF2B5EF4-FFF2-40B4-BE49-F238E27FC236}">
              <a16:creationId xmlns:a16="http://schemas.microsoft.com/office/drawing/2014/main" id="{E987AC88-9826-4010-ACEF-984F41BFC4BF}"/>
            </a:ext>
          </a:extLst>
        </xdr:cNvPr>
        <xdr:cNvSpPr/>
      </xdr:nvSpPr>
      <xdr:spPr>
        <a:xfrm>
          <a:off x="2640522" y="2914422"/>
          <a:ext cx="1195335" cy="58498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365217</xdr:colOff>
      <xdr:row>23</xdr:row>
      <xdr:rowOff>166870</xdr:rowOff>
    </xdr:from>
    <xdr:to>
      <xdr:col>9</xdr:col>
      <xdr:colOff>379826</xdr:colOff>
      <xdr:row>25</xdr:row>
      <xdr:rowOff>165652</xdr:rowOff>
    </xdr:to>
    <xdr:sp macro="" textlink="">
      <xdr:nvSpPr>
        <xdr:cNvPr id="5" name="四角形: 角を丸くする 4">
          <a:extLst>
            <a:ext uri="{FF2B5EF4-FFF2-40B4-BE49-F238E27FC236}">
              <a16:creationId xmlns:a16="http://schemas.microsoft.com/office/drawing/2014/main" id="{5C6A65F8-CDAE-4CE0-9E96-2C3B9871A7CB}"/>
            </a:ext>
          </a:extLst>
        </xdr:cNvPr>
        <xdr:cNvSpPr/>
      </xdr:nvSpPr>
      <xdr:spPr>
        <a:xfrm>
          <a:off x="2611875" y="4950077"/>
          <a:ext cx="1194880" cy="412912"/>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372716</xdr:colOff>
      <xdr:row>19</xdr:row>
      <xdr:rowOff>41414</xdr:rowOff>
    </xdr:from>
    <xdr:to>
      <xdr:col>33</xdr:col>
      <xdr:colOff>548723</xdr:colOff>
      <xdr:row>23</xdr:row>
      <xdr:rowOff>2595</xdr:rowOff>
    </xdr:to>
    <xdr:sp macro="" textlink="">
      <xdr:nvSpPr>
        <xdr:cNvPr id="6" name="吹き出し: 角を丸めた四角形 5">
          <a:extLst>
            <a:ext uri="{FF2B5EF4-FFF2-40B4-BE49-F238E27FC236}">
              <a16:creationId xmlns:a16="http://schemas.microsoft.com/office/drawing/2014/main" id="{12E32BA5-9787-4F28-81E4-1DAEDC6C0465}"/>
            </a:ext>
          </a:extLst>
        </xdr:cNvPr>
        <xdr:cNvSpPr/>
      </xdr:nvSpPr>
      <xdr:spPr>
        <a:xfrm>
          <a:off x="4979917" y="3996360"/>
          <a:ext cx="3820355" cy="789442"/>
        </a:xfrm>
        <a:prstGeom prst="wedgeRoundRectCallout">
          <a:avLst>
            <a:gd name="adj1" fmla="val -81373"/>
            <a:gd name="adj2" fmla="val 37578"/>
            <a:gd name="adj3" fmla="val 16667"/>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壁量計算では小屋裏面積を含めて計算するが、ここでは小屋裏面積を含めなくても良い。</a:t>
          </a:r>
          <a:endParaRPr kumimoji="1" lang="en-US" altLang="ja-JP" sz="1100"/>
        </a:p>
        <a:p>
          <a:pPr algn="l"/>
          <a:endParaRPr kumimoji="1" lang="ja-JP" altLang="en-US" sz="1100"/>
        </a:p>
      </xdr:txBody>
    </xdr:sp>
    <xdr:clientData/>
  </xdr:twoCellAnchor>
  <xdr:twoCellAnchor>
    <xdr:from>
      <xdr:col>6</xdr:col>
      <xdr:colOff>366765</xdr:colOff>
      <xdr:row>21</xdr:row>
      <xdr:rowOff>165653</xdr:rowOff>
    </xdr:from>
    <xdr:to>
      <xdr:col>9</xdr:col>
      <xdr:colOff>390202</xdr:colOff>
      <xdr:row>23</xdr:row>
      <xdr:rowOff>195427</xdr:rowOff>
    </xdr:to>
    <xdr:sp macro="" textlink="">
      <xdr:nvSpPr>
        <xdr:cNvPr id="7" name="四角形: 角を丸くする 6">
          <a:extLst>
            <a:ext uri="{FF2B5EF4-FFF2-40B4-BE49-F238E27FC236}">
              <a16:creationId xmlns:a16="http://schemas.microsoft.com/office/drawing/2014/main" id="{5DC3F26D-75BE-431D-A099-9A8CB48467F9}"/>
            </a:ext>
          </a:extLst>
        </xdr:cNvPr>
        <xdr:cNvSpPr/>
      </xdr:nvSpPr>
      <xdr:spPr>
        <a:xfrm>
          <a:off x="2613423" y="4534729"/>
          <a:ext cx="1203708" cy="443905"/>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383070</xdr:colOff>
      <xdr:row>24</xdr:row>
      <xdr:rowOff>124239</xdr:rowOff>
    </xdr:from>
    <xdr:to>
      <xdr:col>33</xdr:col>
      <xdr:colOff>455543</xdr:colOff>
      <xdr:row>28</xdr:row>
      <xdr:rowOff>93180</xdr:rowOff>
    </xdr:to>
    <xdr:sp macro="" textlink="">
      <xdr:nvSpPr>
        <xdr:cNvPr id="8" name="吹き出し: 角を丸めた四角形 7">
          <a:extLst>
            <a:ext uri="{FF2B5EF4-FFF2-40B4-BE49-F238E27FC236}">
              <a16:creationId xmlns:a16="http://schemas.microsoft.com/office/drawing/2014/main" id="{D3E584DE-B067-4563-9A85-C6190D107CE9}"/>
            </a:ext>
          </a:extLst>
        </xdr:cNvPr>
        <xdr:cNvSpPr/>
      </xdr:nvSpPr>
      <xdr:spPr>
        <a:xfrm>
          <a:off x="4596847" y="5114511"/>
          <a:ext cx="4110245" cy="797202"/>
        </a:xfrm>
        <a:prstGeom prst="wedgeRoundRectCallout">
          <a:avLst>
            <a:gd name="adj1" fmla="val -72289"/>
            <a:gd name="adj2" fmla="val 1738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屋根と外壁の仕様を選択する。</a:t>
          </a:r>
          <a:endParaRPr kumimoji="1" lang="en-US" altLang="ja-JP" sz="1100"/>
        </a:p>
        <a:p>
          <a:pPr algn="l"/>
          <a:r>
            <a:rPr kumimoji="1" lang="ja-JP" altLang="en-US" sz="1100"/>
            <a:t>実際の仕様が選択肢に無い場合には同等以上の重量の仕様を選択すればよい。</a:t>
          </a:r>
        </a:p>
      </xdr:txBody>
    </xdr:sp>
    <xdr:clientData/>
  </xdr:twoCellAnchor>
  <xdr:twoCellAnchor>
    <xdr:from>
      <xdr:col>1</xdr:col>
      <xdr:colOff>370314</xdr:colOff>
      <xdr:row>28</xdr:row>
      <xdr:rowOff>176005</xdr:rowOff>
    </xdr:from>
    <xdr:to>
      <xdr:col>5</xdr:col>
      <xdr:colOff>320950</xdr:colOff>
      <xdr:row>32</xdr:row>
      <xdr:rowOff>13372</xdr:rowOff>
    </xdr:to>
    <xdr:sp macro="" textlink="">
      <xdr:nvSpPr>
        <xdr:cNvPr id="9" name="吹き出し: 角を丸めた四角形 8">
          <a:extLst>
            <a:ext uri="{FF2B5EF4-FFF2-40B4-BE49-F238E27FC236}">
              <a16:creationId xmlns:a16="http://schemas.microsoft.com/office/drawing/2014/main" id="{D13A9FB3-F146-4502-8B8A-3E7ED003EF8E}"/>
            </a:ext>
          </a:extLst>
        </xdr:cNvPr>
        <xdr:cNvSpPr/>
      </xdr:nvSpPr>
      <xdr:spPr>
        <a:xfrm>
          <a:off x="649852" y="5994538"/>
          <a:ext cx="1524332" cy="665627"/>
        </a:xfrm>
        <a:prstGeom prst="wedgeRoundRectCallout">
          <a:avLst>
            <a:gd name="adj1" fmla="val 74058"/>
            <a:gd name="adj2" fmla="val 146977"/>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プルダウン選択してください。</a:t>
          </a:r>
        </a:p>
      </xdr:txBody>
    </xdr:sp>
    <xdr:clientData/>
  </xdr:twoCellAnchor>
  <xdr:twoCellAnchor>
    <xdr:from>
      <xdr:col>15</xdr:col>
      <xdr:colOff>171367</xdr:colOff>
      <xdr:row>42</xdr:row>
      <xdr:rowOff>49033</xdr:rowOff>
    </xdr:from>
    <xdr:to>
      <xdr:col>21</xdr:col>
      <xdr:colOff>176006</xdr:colOff>
      <xdr:row>47</xdr:row>
      <xdr:rowOff>80921</xdr:rowOff>
    </xdr:to>
    <xdr:sp macro="" textlink="">
      <xdr:nvSpPr>
        <xdr:cNvPr id="10" name="吹き出し: 角を丸めた四角形 9">
          <a:extLst>
            <a:ext uri="{FF2B5EF4-FFF2-40B4-BE49-F238E27FC236}">
              <a16:creationId xmlns:a16="http://schemas.microsoft.com/office/drawing/2014/main" id="{CBF8644F-BAFD-417F-97B2-3CD828F6DDFB}"/>
            </a:ext>
          </a:extLst>
        </xdr:cNvPr>
        <xdr:cNvSpPr/>
      </xdr:nvSpPr>
      <xdr:spPr>
        <a:xfrm>
          <a:off x="5782834" y="8766479"/>
          <a:ext cx="2178824" cy="1067214"/>
        </a:xfrm>
        <a:prstGeom prst="wedgeRoundRectCallout">
          <a:avLst>
            <a:gd name="adj1" fmla="val -22354"/>
            <a:gd name="adj2" fmla="val -8964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「任意入力」を選択した場合は、数値入力してください。異なる断熱材を重ねて使用する場合には</a:t>
          </a:r>
          <a:r>
            <a:rPr kumimoji="1" lang="en-US" altLang="ja-JP" sz="1100"/>
            <a:t>2</a:t>
          </a:r>
          <a:r>
            <a:rPr kumimoji="1" lang="ja-JP" altLang="en-US" sz="1100"/>
            <a:t>段に分けて記載する。</a:t>
          </a:r>
        </a:p>
      </xdr:txBody>
    </xdr:sp>
    <xdr:clientData/>
  </xdr:twoCellAnchor>
  <xdr:twoCellAnchor>
    <xdr:from>
      <xdr:col>14</xdr:col>
      <xdr:colOff>352010</xdr:colOff>
      <xdr:row>36</xdr:row>
      <xdr:rowOff>196713</xdr:rowOff>
    </xdr:from>
    <xdr:to>
      <xdr:col>21</xdr:col>
      <xdr:colOff>393424</xdr:colOff>
      <xdr:row>40</xdr:row>
      <xdr:rowOff>41414</xdr:rowOff>
    </xdr:to>
    <xdr:sp macro="" textlink="">
      <xdr:nvSpPr>
        <xdr:cNvPr id="11" name="四角形: 角を丸くする 10">
          <a:extLst>
            <a:ext uri="{FF2B5EF4-FFF2-40B4-BE49-F238E27FC236}">
              <a16:creationId xmlns:a16="http://schemas.microsoft.com/office/drawing/2014/main" id="{69819D16-9545-42AF-93E2-4BB1591E267A}"/>
            </a:ext>
          </a:extLst>
        </xdr:cNvPr>
        <xdr:cNvSpPr/>
      </xdr:nvSpPr>
      <xdr:spPr>
        <a:xfrm>
          <a:off x="5570053" y="7671767"/>
          <a:ext cx="2609023" cy="672962"/>
        </a:xfrm>
        <a:prstGeom prst="roundRect">
          <a:avLst/>
        </a:prstGeom>
        <a:noFill/>
        <a:ln w="38100">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356431</xdr:colOff>
      <xdr:row>17</xdr:row>
      <xdr:rowOff>176006</xdr:rowOff>
    </xdr:from>
    <xdr:to>
      <xdr:col>9</xdr:col>
      <xdr:colOff>366723</xdr:colOff>
      <xdr:row>18</xdr:row>
      <xdr:rowOff>176006</xdr:rowOff>
    </xdr:to>
    <xdr:sp macro="" textlink="">
      <xdr:nvSpPr>
        <xdr:cNvPr id="12" name="四角形: 角を丸くする 11">
          <a:extLst>
            <a:ext uri="{FF2B5EF4-FFF2-40B4-BE49-F238E27FC236}">
              <a16:creationId xmlns:a16="http://schemas.microsoft.com/office/drawing/2014/main" id="{9129537B-93F5-49DC-AA3A-74AE559E089A}"/>
            </a:ext>
          </a:extLst>
        </xdr:cNvPr>
        <xdr:cNvSpPr/>
      </xdr:nvSpPr>
      <xdr:spPr>
        <a:xfrm>
          <a:off x="2603089" y="3716821"/>
          <a:ext cx="1190563" cy="207065"/>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341658</xdr:colOff>
      <xdr:row>23</xdr:row>
      <xdr:rowOff>20706</xdr:rowOff>
    </xdr:from>
    <xdr:to>
      <xdr:col>16</xdr:col>
      <xdr:colOff>269185</xdr:colOff>
      <xdr:row>24</xdr:row>
      <xdr:rowOff>67862</xdr:rowOff>
    </xdr:to>
    <xdr:sp macro="" textlink="">
      <xdr:nvSpPr>
        <xdr:cNvPr id="13" name="吹き出し: 角を丸めた四角形 12">
          <a:extLst>
            <a:ext uri="{FF2B5EF4-FFF2-40B4-BE49-F238E27FC236}">
              <a16:creationId xmlns:a16="http://schemas.microsoft.com/office/drawing/2014/main" id="{490FA50D-9693-4566-B595-38E862BCE9CC}"/>
            </a:ext>
          </a:extLst>
        </xdr:cNvPr>
        <xdr:cNvSpPr/>
      </xdr:nvSpPr>
      <xdr:spPr>
        <a:xfrm>
          <a:off x="4162011" y="4803913"/>
          <a:ext cx="2018886" cy="254221"/>
        </a:xfrm>
        <a:prstGeom prst="wedgeRoundRectCallout">
          <a:avLst>
            <a:gd name="adj1" fmla="val -70411"/>
            <a:gd name="adj2" fmla="val 116351"/>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軒の出と屋根勾配を数値入力</a:t>
          </a:r>
        </a:p>
      </xdr:txBody>
    </xdr:sp>
    <xdr:clientData/>
  </xdr:twoCellAnchor>
  <xdr:twoCellAnchor>
    <xdr:from>
      <xdr:col>6</xdr:col>
      <xdr:colOff>362363</xdr:colOff>
      <xdr:row>19</xdr:row>
      <xdr:rowOff>10352</xdr:rowOff>
    </xdr:from>
    <xdr:to>
      <xdr:col>9</xdr:col>
      <xdr:colOff>383071</xdr:colOff>
      <xdr:row>21</xdr:row>
      <xdr:rowOff>155299</xdr:rowOff>
    </xdr:to>
    <xdr:sp macro="" textlink="">
      <xdr:nvSpPr>
        <xdr:cNvPr id="14" name="四角形: 角を丸くする 13">
          <a:extLst>
            <a:ext uri="{FF2B5EF4-FFF2-40B4-BE49-F238E27FC236}">
              <a16:creationId xmlns:a16="http://schemas.microsoft.com/office/drawing/2014/main" id="{3B8106BF-2274-4350-B68E-4D181BB057B9}"/>
            </a:ext>
          </a:extLst>
        </xdr:cNvPr>
        <xdr:cNvSpPr/>
      </xdr:nvSpPr>
      <xdr:spPr>
        <a:xfrm>
          <a:off x="2609021" y="3965298"/>
          <a:ext cx="1200979" cy="559077"/>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362363</xdr:colOff>
      <xdr:row>17</xdr:row>
      <xdr:rowOff>0</xdr:rowOff>
    </xdr:from>
    <xdr:to>
      <xdr:col>9</xdr:col>
      <xdr:colOff>383071</xdr:colOff>
      <xdr:row>17</xdr:row>
      <xdr:rowOff>196713</xdr:rowOff>
    </xdr:to>
    <xdr:sp macro="" textlink="">
      <xdr:nvSpPr>
        <xdr:cNvPr id="15" name="四角形: 角を丸くする 14">
          <a:extLst>
            <a:ext uri="{FF2B5EF4-FFF2-40B4-BE49-F238E27FC236}">
              <a16:creationId xmlns:a16="http://schemas.microsoft.com/office/drawing/2014/main" id="{88ABFD73-8C2F-4573-8CFA-249260357180}"/>
            </a:ext>
          </a:extLst>
        </xdr:cNvPr>
        <xdr:cNvSpPr/>
      </xdr:nvSpPr>
      <xdr:spPr>
        <a:xfrm>
          <a:off x="2609021" y="3540815"/>
          <a:ext cx="1200979" cy="196713"/>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362365</xdr:colOff>
      <xdr:row>9</xdr:row>
      <xdr:rowOff>82827</xdr:rowOff>
    </xdr:from>
    <xdr:to>
      <xdr:col>12</xdr:col>
      <xdr:colOff>320951</xdr:colOff>
      <xdr:row>13</xdr:row>
      <xdr:rowOff>64713</xdr:rowOff>
    </xdr:to>
    <xdr:sp macro="" textlink="">
      <xdr:nvSpPr>
        <xdr:cNvPr id="16" name="吹き出し: 角を丸めた四角形 15">
          <a:extLst>
            <a:ext uri="{FF2B5EF4-FFF2-40B4-BE49-F238E27FC236}">
              <a16:creationId xmlns:a16="http://schemas.microsoft.com/office/drawing/2014/main" id="{2E87459E-9044-4590-916E-AC26479DC0CF}"/>
            </a:ext>
          </a:extLst>
        </xdr:cNvPr>
        <xdr:cNvSpPr/>
      </xdr:nvSpPr>
      <xdr:spPr>
        <a:xfrm>
          <a:off x="3395870" y="1946414"/>
          <a:ext cx="1532282" cy="830853"/>
        </a:xfrm>
        <a:prstGeom prst="wedgeRoundRectCallout">
          <a:avLst>
            <a:gd name="adj1" fmla="val -30025"/>
            <a:gd name="adj2" fmla="val 138084"/>
            <a:gd name="adj3" fmla="val 16667"/>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地域に応じて</a:t>
          </a:r>
          <a:r>
            <a:rPr kumimoji="1" lang="en-US" altLang="ja-JP" sz="1100"/>
            <a:t>0.7</a:t>
          </a:r>
          <a:r>
            <a:rPr kumimoji="1" lang="ja-JP" altLang="en-US" sz="1100"/>
            <a:t>～</a:t>
          </a:r>
          <a:r>
            <a:rPr kumimoji="1" lang="en-US" altLang="ja-JP" sz="1100"/>
            <a:t>1.0</a:t>
          </a:r>
          <a:r>
            <a:rPr kumimoji="1" lang="ja-JP" altLang="en-US" sz="1100"/>
            <a:t>までの数値を選択（住宅性能表示制度のみ）</a:t>
          </a:r>
        </a:p>
      </xdr:txBody>
    </xdr:sp>
    <xdr:clientData/>
  </xdr:twoCellAnchor>
  <xdr:twoCellAnchor>
    <xdr:from>
      <xdr:col>12</xdr:col>
      <xdr:colOff>289891</xdr:colOff>
      <xdr:row>14</xdr:row>
      <xdr:rowOff>196711</xdr:rowOff>
    </xdr:from>
    <xdr:to>
      <xdr:col>21</xdr:col>
      <xdr:colOff>78085</xdr:colOff>
      <xdr:row>17</xdr:row>
      <xdr:rowOff>155300</xdr:rowOff>
    </xdr:to>
    <xdr:sp macro="" textlink="">
      <xdr:nvSpPr>
        <xdr:cNvPr id="17" name="吹き出し: 角を丸めた四角形 16">
          <a:extLst>
            <a:ext uri="{FF2B5EF4-FFF2-40B4-BE49-F238E27FC236}">
              <a16:creationId xmlns:a16="http://schemas.microsoft.com/office/drawing/2014/main" id="{B0C90667-4131-4751-BBA3-53E9EF57ED8E}"/>
            </a:ext>
          </a:extLst>
        </xdr:cNvPr>
        <xdr:cNvSpPr/>
      </xdr:nvSpPr>
      <xdr:spPr>
        <a:xfrm>
          <a:off x="4897092" y="3116331"/>
          <a:ext cx="2966645" cy="579784"/>
        </a:xfrm>
        <a:prstGeom prst="wedgeRoundRectCallout">
          <a:avLst>
            <a:gd name="adj1" fmla="val -87880"/>
            <a:gd name="adj2" fmla="val 124559"/>
            <a:gd name="adj3" fmla="val 16667"/>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多雪区域の指定がある場合は入力が必要</a:t>
          </a:r>
          <a:r>
            <a:rPr kumimoji="1" lang="ja-JP" altLang="ja-JP" sz="1100">
              <a:solidFill>
                <a:schemeClr val="lt1"/>
              </a:solidFill>
              <a:effectLst/>
              <a:latin typeface="+mn-lt"/>
              <a:ea typeface="+mn-ea"/>
              <a:cs typeface="+mn-cs"/>
            </a:rPr>
            <a:t>（住宅性能表示制度のみ）</a:t>
          </a:r>
          <a:endParaRPr kumimoji="1" lang="en-US" altLang="ja-JP" sz="1100"/>
        </a:p>
        <a:p>
          <a:pPr algn="l"/>
          <a:endParaRPr kumimoji="1" lang="ja-JP" altLang="en-US" sz="1100"/>
        </a:p>
      </xdr:txBody>
    </xdr:sp>
    <xdr:clientData/>
  </xdr:twoCellAnchor>
  <xdr:twoCellAnchor>
    <xdr:from>
      <xdr:col>6</xdr:col>
      <xdr:colOff>352010</xdr:colOff>
      <xdr:row>25</xdr:row>
      <xdr:rowOff>176007</xdr:rowOff>
    </xdr:from>
    <xdr:to>
      <xdr:col>9</xdr:col>
      <xdr:colOff>375447</xdr:colOff>
      <xdr:row>27</xdr:row>
      <xdr:rowOff>165653</xdr:rowOff>
    </xdr:to>
    <xdr:sp macro="" textlink="">
      <xdr:nvSpPr>
        <xdr:cNvPr id="18" name="四角形: 角を丸くする 17">
          <a:extLst>
            <a:ext uri="{FF2B5EF4-FFF2-40B4-BE49-F238E27FC236}">
              <a16:creationId xmlns:a16="http://schemas.microsoft.com/office/drawing/2014/main" id="{AA96C1C6-AFDB-4475-8D27-39D40B3F1D3E}"/>
            </a:ext>
          </a:extLst>
        </xdr:cNvPr>
        <xdr:cNvSpPr/>
      </xdr:nvSpPr>
      <xdr:spPr>
        <a:xfrm>
          <a:off x="2598668" y="5373344"/>
          <a:ext cx="1203708" cy="403776"/>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334156</xdr:colOff>
      <xdr:row>27</xdr:row>
      <xdr:rowOff>165654</xdr:rowOff>
    </xdr:from>
    <xdr:to>
      <xdr:col>9</xdr:col>
      <xdr:colOff>348765</xdr:colOff>
      <xdr:row>39</xdr:row>
      <xdr:rowOff>173698</xdr:rowOff>
    </xdr:to>
    <xdr:sp macro="" textlink="">
      <xdr:nvSpPr>
        <xdr:cNvPr id="19" name="四角形: 角を丸くする 18">
          <a:extLst>
            <a:ext uri="{FF2B5EF4-FFF2-40B4-BE49-F238E27FC236}">
              <a16:creationId xmlns:a16="http://schemas.microsoft.com/office/drawing/2014/main" id="{E44CF50F-EB26-4004-90BC-0EFC47D5DE36}"/>
            </a:ext>
          </a:extLst>
        </xdr:cNvPr>
        <xdr:cNvSpPr/>
      </xdr:nvSpPr>
      <xdr:spPr>
        <a:xfrm>
          <a:off x="2580814" y="5777121"/>
          <a:ext cx="1194880" cy="2492827"/>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7</xdr:row>
      <xdr:rowOff>196712</xdr:rowOff>
    </xdr:from>
    <xdr:to>
      <xdr:col>19</xdr:col>
      <xdr:colOff>248478</xdr:colOff>
      <xdr:row>9</xdr:row>
      <xdr:rowOff>10354</xdr:rowOff>
    </xdr:to>
    <xdr:sp macro="" textlink="">
      <xdr:nvSpPr>
        <xdr:cNvPr id="20" name="四角形: 角を丸くする 19">
          <a:extLst>
            <a:ext uri="{FF2B5EF4-FFF2-40B4-BE49-F238E27FC236}">
              <a16:creationId xmlns:a16="http://schemas.microsoft.com/office/drawing/2014/main" id="{D8806EC0-3524-4364-B6C4-E81C4FFD4159}"/>
            </a:ext>
          </a:extLst>
        </xdr:cNvPr>
        <xdr:cNvSpPr/>
      </xdr:nvSpPr>
      <xdr:spPr>
        <a:xfrm>
          <a:off x="0" y="1646169"/>
          <a:ext cx="7247282" cy="227772"/>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41412</xdr:colOff>
      <xdr:row>5</xdr:row>
      <xdr:rowOff>41413</xdr:rowOff>
    </xdr:from>
    <xdr:to>
      <xdr:col>21</xdr:col>
      <xdr:colOff>176006</xdr:colOff>
      <xdr:row>7</xdr:row>
      <xdr:rowOff>168501</xdr:rowOff>
    </xdr:to>
    <xdr:sp macro="" textlink="">
      <xdr:nvSpPr>
        <xdr:cNvPr id="21" name="吹き出し: 角を丸めた四角形 20">
          <a:extLst>
            <a:ext uri="{FF2B5EF4-FFF2-40B4-BE49-F238E27FC236}">
              <a16:creationId xmlns:a16="http://schemas.microsoft.com/office/drawing/2014/main" id="{3C0F1017-3146-4CC9-9260-9E5450C92CB8}"/>
            </a:ext>
          </a:extLst>
        </xdr:cNvPr>
        <xdr:cNvSpPr/>
      </xdr:nvSpPr>
      <xdr:spPr>
        <a:xfrm>
          <a:off x="5953124" y="1076739"/>
          <a:ext cx="2008534" cy="541219"/>
        </a:xfrm>
        <a:prstGeom prst="wedgeRoundRectCallout">
          <a:avLst>
            <a:gd name="adj1" fmla="val -66521"/>
            <a:gd name="adj2" fmla="val 50067"/>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用途に応じて、いずれかひとつのチェックボックスを選択</a:t>
          </a:r>
        </a:p>
      </xdr:txBody>
    </xdr:sp>
    <xdr:clientData/>
  </xdr:twoCellAnchor>
  <xdr:twoCellAnchor>
    <xdr:from>
      <xdr:col>5</xdr:col>
      <xdr:colOff>300346</xdr:colOff>
      <xdr:row>49</xdr:row>
      <xdr:rowOff>113886</xdr:rowOff>
    </xdr:from>
    <xdr:to>
      <xdr:col>12</xdr:col>
      <xdr:colOff>207453</xdr:colOff>
      <xdr:row>52</xdr:row>
      <xdr:rowOff>96028</xdr:rowOff>
    </xdr:to>
    <xdr:sp macro="" textlink="">
      <xdr:nvSpPr>
        <xdr:cNvPr id="22" name="吹き出し: 角を丸めた四角形 21">
          <a:extLst>
            <a:ext uri="{FF2B5EF4-FFF2-40B4-BE49-F238E27FC236}">
              <a16:creationId xmlns:a16="http://schemas.microsoft.com/office/drawing/2014/main" id="{BAB64364-5A0E-45A9-9F17-3F73A7D2429C}"/>
            </a:ext>
          </a:extLst>
        </xdr:cNvPr>
        <xdr:cNvSpPr/>
      </xdr:nvSpPr>
      <xdr:spPr>
        <a:xfrm>
          <a:off x="2153580" y="10280788"/>
          <a:ext cx="2661074" cy="592985"/>
        </a:xfrm>
        <a:prstGeom prst="wedgeRoundRectCallout">
          <a:avLst>
            <a:gd name="adj1" fmla="val -125290"/>
            <a:gd name="adj2" fmla="val 8012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1</a:t>
          </a:r>
          <a:r>
            <a:rPr kumimoji="1" lang="ja-JP" altLang="en-US" sz="1100"/>
            <a:t>の方法を採用する場合にはチェックボックスに☑を入力します。</a:t>
          </a:r>
        </a:p>
      </xdr:txBody>
    </xdr:sp>
    <xdr:clientData/>
  </xdr:twoCellAnchor>
  <xdr:twoCellAnchor>
    <xdr:from>
      <xdr:col>13</xdr:col>
      <xdr:colOff>130783</xdr:colOff>
      <xdr:row>32</xdr:row>
      <xdr:rowOff>188265</xdr:rowOff>
    </xdr:from>
    <xdr:to>
      <xdr:col>21</xdr:col>
      <xdr:colOff>434837</xdr:colOff>
      <xdr:row>36</xdr:row>
      <xdr:rowOff>36776</xdr:rowOff>
    </xdr:to>
    <xdr:sp macro="" textlink="">
      <xdr:nvSpPr>
        <xdr:cNvPr id="23" name="四角形: 角を丸くする 22">
          <a:extLst>
            <a:ext uri="{FF2B5EF4-FFF2-40B4-BE49-F238E27FC236}">
              <a16:creationId xmlns:a16="http://schemas.microsoft.com/office/drawing/2014/main" id="{7F642DD9-C431-4788-8A7C-24EB30A13693}"/>
            </a:ext>
          </a:extLst>
        </xdr:cNvPr>
        <xdr:cNvSpPr/>
      </xdr:nvSpPr>
      <xdr:spPr>
        <a:xfrm>
          <a:off x="5131408" y="6835058"/>
          <a:ext cx="3089081" cy="676772"/>
        </a:xfrm>
        <a:prstGeom prst="roundRect">
          <a:avLst/>
        </a:prstGeom>
        <a:noFill/>
        <a:ln w="38100">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72473</xdr:colOff>
      <xdr:row>40</xdr:row>
      <xdr:rowOff>169463</xdr:rowOff>
    </xdr:from>
    <xdr:to>
      <xdr:col>15</xdr:col>
      <xdr:colOff>59139</xdr:colOff>
      <xdr:row>43</xdr:row>
      <xdr:rowOff>143042</xdr:rowOff>
    </xdr:to>
    <xdr:sp macro="" textlink="">
      <xdr:nvSpPr>
        <xdr:cNvPr id="24" name="吹き出し: 角を丸めた四角形 23">
          <a:extLst>
            <a:ext uri="{FF2B5EF4-FFF2-40B4-BE49-F238E27FC236}">
              <a16:creationId xmlns:a16="http://schemas.microsoft.com/office/drawing/2014/main" id="{CC8DE618-FE37-4476-8870-0D2A514C4CDE}"/>
            </a:ext>
          </a:extLst>
        </xdr:cNvPr>
        <xdr:cNvSpPr/>
      </xdr:nvSpPr>
      <xdr:spPr>
        <a:xfrm>
          <a:off x="3499402" y="8472778"/>
          <a:ext cx="2171204" cy="594775"/>
        </a:xfrm>
        <a:prstGeom prst="wedgeRoundRectCallout">
          <a:avLst>
            <a:gd name="adj1" fmla="val 39636"/>
            <a:gd name="adj2" fmla="val -20871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「任意入力」を選択した場合は、数値入力してください。</a:t>
          </a:r>
        </a:p>
      </xdr:txBody>
    </xdr:sp>
    <xdr:clientData/>
  </xdr:twoCellAnchor>
  <xdr:twoCellAnchor>
    <xdr:from>
      <xdr:col>3</xdr:col>
      <xdr:colOff>41413</xdr:colOff>
      <xdr:row>68</xdr:row>
      <xdr:rowOff>2246</xdr:rowOff>
    </xdr:from>
    <xdr:to>
      <xdr:col>16</xdr:col>
      <xdr:colOff>22090</xdr:colOff>
      <xdr:row>71</xdr:row>
      <xdr:rowOff>41413</xdr:rowOff>
    </xdr:to>
    <xdr:sp macro="" textlink="">
      <xdr:nvSpPr>
        <xdr:cNvPr id="25" name="四角形: 角を丸くする 24">
          <a:extLst>
            <a:ext uri="{FF2B5EF4-FFF2-40B4-BE49-F238E27FC236}">
              <a16:creationId xmlns:a16="http://schemas.microsoft.com/office/drawing/2014/main" id="{8F33B7B6-73CC-4610-8754-D8251FD5CDAB}"/>
            </a:ext>
          </a:extLst>
        </xdr:cNvPr>
        <xdr:cNvSpPr/>
      </xdr:nvSpPr>
      <xdr:spPr>
        <a:xfrm>
          <a:off x="1107799" y="14093034"/>
          <a:ext cx="4826003" cy="660363"/>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16050</xdr:colOff>
      <xdr:row>72</xdr:row>
      <xdr:rowOff>17201</xdr:rowOff>
    </xdr:from>
    <xdr:to>
      <xdr:col>16</xdr:col>
      <xdr:colOff>350</xdr:colOff>
      <xdr:row>75</xdr:row>
      <xdr:rowOff>41413</xdr:rowOff>
    </xdr:to>
    <xdr:sp macro="" textlink="">
      <xdr:nvSpPr>
        <xdr:cNvPr id="26" name="四角形: 角を丸くする 25">
          <a:extLst>
            <a:ext uri="{FF2B5EF4-FFF2-40B4-BE49-F238E27FC236}">
              <a16:creationId xmlns:a16="http://schemas.microsoft.com/office/drawing/2014/main" id="{C60B1D90-FBA7-40F7-AD87-836823E7AE70}"/>
            </a:ext>
          </a:extLst>
        </xdr:cNvPr>
        <xdr:cNvSpPr/>
      </xdr:nvSpPr>
      <xdr:spPr>
        <a:xfrm>
          <a:off x="1082436" y="14936250"/>
          <a:ext cx="4829626" cy="645408"/>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141672</xdr:colOff>
      <xdr:row>62</xdr:row>
      <xdr:rowOff>155298</xdr:rowOff>
    </xdr:from>
    <xdr:to>
      <xdr:col>19</xdr:col>
      <xdr:colOff>378620</xdr:colOff>
      <xdr:row>66</xdr:row>
      <xdr:rowOff>50054</xdr:rowOff>
    </xdr:to>
    <xdr:sp macro="" textlink="">
      <xdr:nvSpPr>
        <xdr:cNvPr id="27" name="吹き出し: 角を丸めた四角形 26">
          <a:extLst>
            <a:ext uri="{FF2B5EF4-FFF2-40B4-BE49-F238E27FC236}">
              <a16:creationId xmlns:a16="http://schemas.microsoft.com/office/drawing/2014/main" id="{76B95C8C-9EBA-4945-8222-1E44731FD7B2}"/>
            </a:ext>
          </a:extLst>
        </xdr:cNvPr>
        <xdr:cNvSpPr/>
      </xdr:nvSpPr>
      <xdr:spPr>
        <a:xfrm>
          <a:off x="6053384" y="13003695"/>
          <a:ext cx="1324040" cy="723017"/>
        </a:xfrm>
        <a:prstGeom prst="wedgeRoundRectCallout">
          <a:avLst>
            <a:gd name="adj1" fmla="val -70799"/>
            <a:gd name="adj2" fmla="val 991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15</xdr:col>
      <xdr:colOff>281960</xdr:colOff>
      <xdr:row>74</xdr:row>
      <xdr:rowOff>206684</xdr:rowOff>
    </xdr:from>
    <xdr:to>
      <xdr:col>19</xdr:col>
      <xdr:colOff>62120</xdr:colOff>
      <xdr:row>76</xdr:row>
      <xdr:rowOff>20707</xdr:rowOff>
    </xdr:to>
    <xdr:sp macro="" textlink="">
      <xdr:nvSpPr>
        <xdr:cNvPr id="28" name="四角形: 角を丸くする 27">
          <a:extLst>
            <a:ext uri="{FF2B5EF4-FFF2-40B4-BE49-F238E27FC236}">
              <a16:creationId xmlns:a16="http://schemas.microsoft.com/office/drawing/2014/main" id="{4E3738C4-6FAA-479B-995E-3DA4A67F761D}"/>
            </a:ext>
          </a:extLst>
        </xdr:cNvPr>
        <xdr:cNvSpPr/>
      </xdr:nvSpPr>
      <xdr:spPr>
        <a:xfrm>
          <a:off x="5893427" y="15539863"/>
          <a:ext cx="1167497" cy="228154"/>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320952</xdr:colOff>
      <xdr:row>77</xdr:row>
      <xdr:rowOff>74423</xdr:rowOff>
    </xdr:from>
    <xdr:to>
      <xdr:col>20</xdr:col>
      <xdr:colOff>51098</xdr:colOff>
      <xdr:row>80</xdr:row>
      <xdr:rowOff>32838</xdr:rowOff>
    </xdr:to>
    <xdr:sp macro="" textlink="">
      <xdr:nvSpPr>
        <xdr:cNvPr id="29" name="吹き出し: 角を丸めた四角形 28">
          <a:extLst>
            <a:ext uri="{FF2B5EF4-FFF2-40B4-BE49-F238E27FC236}">
              <a16:creationId xmlns:a16="http://schemas.microsoft.com/office/drawing/2014/main" id="{A8C9E3F9-6434-4E4F-95B9-654D5122738A}"/>
            </a:ext>
          </a:extLst>
        </xdr:cNvPr>
        <xdr:cNvSpPr/>
      </xdr:nvSpPr>
      <xdr:spPr>
        <a:xfrm>
          <a:off x="3747881" y="16028798"/>
          <a:ext cx="3695445" cy="579611"/>
        </a:xfrm>
        <a:prstGeom prst="wedgeRoundRectCallout">
          <a:avLst>
            <a:gd name="adj1" fmla="val 12325"/>
            <a:gd name="adj2" fmla="val -91405"/>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国交省大臣が基準強度の指定をした木材の場合は、基準強度を数値入力してください。</a:t>
          </a:r>
        </a:p>
      </xdr:txBody>
    </xdr:sp>
    <xdr:clientData/>
  </xdr:twoCellAnchor>
  <xdr:twoCellAnchor>
    <xdr:from>
      <xdr:col>4</xdr:col>
      <xdr:colOff>104690</xdr:colOff>
      <xdr:row>63</xdr:row>
      <xdr:rowOff>181699</xdr:rowOff>
    </xdr:from>
    <xdr:to>
      <xdr:col>11</xdr:col>
      <xdr:colOff>9033</xdr:colOff>
      <xdr:row>66</xdr:row>
      <xdr:rowOff>159181</xdr:rowOff>
    </xdr:to>
    <xdr:sp macro="" textlink="">
      <xdr:nvSpPr>
        <xdr:cNvPr id="30" name="吹き出し: 角を丸めた四角形 29">
          <a:extLst>
            <a:ext uri="{FF2B5EF4-FFF2-40B4-BE49-F238E27FC236}">
              <a16:creationId xmlns:a16="http://schemas.microsoft.com/office/drawing/2014/main" id="{0999E3FB-9380-4219-ABF6-7F7F1B2BECEA}"/>
            </a:ext>
          </a:extLst>
        </xdr:cNvPr>
        <xdr:cNvSpPr/>
      </xdr:nvSpPr>
      <xdr:spPr>
        <a:xfrm>
          <a:off x="1564500" y="13237161"/>
          <a:ext cx="2658310" cy="598678"/>
        </a:xfrm>
        <a:prstGeom prst="wedgeRoundRectCallout">
          <a:avLst>
            <a:gd name="adj1" fmla="val -103639"/>
            <a:gd name="adj2" fmla="val -5068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2</a:t>
          </a:r>
          <a:r>
            <a:rPr kumimoji="1" lang="ja-JP" altLang="en-US" sz="1100"/>
            <a:t>の方法を採用する場合にはチェックボックスに☑を入力します。</a:t>
          </a:r>
        </a:p>
      </xdr:txBody>
    </xdr:sp>
    <xdr:clientData/>
  </xdr:twoCellAnchor>
  <xdr:twoCellAnchor>
    <xdr:from>
      <xdr:col>16</xdr:col>
      <xdr:colOff>0</xdr:colOff>
      <xdr:row>71</xdr:row>
      <xdr:rowOff>15490</xdr:rowOff>
    </xdr:from>
    <xdr:to>
      <xdr:col>19</xdr:col>
      <xdr:colOff>41414</xdr:colOff>
      <xdr:row>72</xdr:row>
      <xdr:rowOff>31061</xdr:rowOff>
    </xdr:to>
    <xdr:sp macro="" textlink="">
      <xdr:nvSpPr>
        <xdr:cNvPr id="31" name="四角形: 角を丸くする 30">
          <a:extLst>
            <a:ext uri="{FF2B5EF4-FFF2-40B4-BE49-F238E27FC236}">
              <a16:creationId xmlns:a16="http://schemas.microsoft.com/office/drawing/2014/main" id="{230F84C3-C8F6-4741-A538-009A29BF47AA}"/>
            </a:ext>
          </a:extLst>
        </xdr:cNvPr>
        <xdr:cNvSpPr/>
      </xdr:nvSpPr>
      <xdr:spPr>
        <a:xfrm>
          <a:off x="5911712" y="14727474"/>
          <a:ext cx="1128506" cy="222636"/>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289892</xdr:colOff>
      <xdr:row>85</xdr:row>
      <xdr:rowOff>2109</xdr:rowOff>
    </xdr:from>
    <xdr:to>
      <xdr:col>12</xdr:col>
      <xdr:colOff>12754</xdr:colOff>
      <xdr:row>86</xdr:row>
      <xdr:rowOff>370037</xdr:rowOff>
    </xdr:to>
    <xdr:sp macro="" textlink="">
      <xdr:nvSpPr>
        <xdr:cNvPr id="32" name="四角形: 角を丸くする 31">
          <a:extLst>
            <a:ext uri="{FF2B5EF4-FFF2-40B4-BE49-F238E27FC236}">
              <a16:creationId xmlns:a16="http://schemas.microsoft.com/office/drawing/2014/main" id="{35353AE5-C54A-4376-BF2F-D72F4BF8152A}"/>
            </a:ext>
          </a:extLst>
        </xdr:cNvPr>
        <xdr:cNvSpPr/>
      </xdr:nvSpPr>
      <xdr:spPr>
        <a:xfrm>
          <a:off x="1035327" y="17892544"/>
          <a:ext cx="3584628" cy="750998"/>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10352</xdr:colOff>
      <xdr:row>87</xdr:row>
      <xdr:rowOff>378793</xdr:rowOff>
    </xdr:from>
    <xdr:to>
      <xdr:col>11</xdr:col>
      <xdr:colOff>377186</xdr:colOff>
      <xdr:row>90</xdr:row>
      <xdr:rowOff>18364</xdr:rowOff>
    </xdr:to>
    <xdr:sp macro="" textlink="">
      <xdr:nvSpPr>
        <xdr:cNvPr id="33" name="四角形: 角を丸くする 32">
          <a:extLst>
            <a:ext uri="{FF2B5EF4-FFF2-40B4-BE49-F238E27FC236}">
              <a16:creationId xmlns:a16="http://schemas.microsoft.com/office/drawing/2014/main" id="{44BFE5D1-D870-4A35-AD9F-EE4CE5DECF22}"/>
            </a:ext>
          </a:extLst>
        </xdr:cNvPr>
        <xdr:cNvSpPr/>
      </xdr:nvSpPr>
      <xdr:spPr>
        <a:xfrm>
          <a:off x="1076738" y="19035369"/>
          <a:ext cx="3514225" cy="788783"/>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310599</xdr:colOff>
      <xdr:row>91</xdr:row>
      <xdr:rowOff>2270</xdr:rowOff>
    </xdr:from>
    <xdr:to>
      <xdr:col>11</xdr:col>
      <xdr:colOff>381849</xdr:colOff>
      <xdr:row>93</xdr:row>
      <xdr:rowOff>31168</xdr:rowOff>
    </xdr:to>
    <xdr:sp macro="" textlink="">
      <xdr:nvSpPr>
        <xdr:cNvPr id="34" name="四角形: 角を丸くする 33">
          <a:extLst>
            <a:ext uri="{FF2B5EF4-FFF2-40B4-BE49-F238E27FC236}">
              <a16:creationId xmlns:a16="http://schemas.microsoft.com/office/drawing/2014/main" id="{B0F0A9B2-C4BA-43D8-8968-CF3E8A38A00B}"/>
            </a:ext>
          </a:extLst>
        </xdr:cNvPr>
        <xdr:cNvSpPr/>
      </xdr:nvSpPr>
      <xdr:spPr>
        <a:xfrm>
          <a:off x="1056034" y="20191129"/>
          <a:ext cx="3539592" cy="795039"/>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310598</xdr:colOff>
      <xdr:row>94</xdr:row>
      <xdr:rowOff>31120</xdr:rowOff>
    </xdr:from>
    <xdr:to>
      <xdr:col>11</xdr:col>
      <xdr:colOff>381848</xdr:colOff>
      <xdr:row>96</xdr:row>
      <xdr:rowOff>0</xdr:rowOff>
    </xdr:to>
    <xdr:sp macro="" textlink="">
      <xdr:nvSpPr>
        <xdr:cNvPr id="35" name="四角形: 角を丸くする 34">
          <a:extLst>
            <a:ext uri="{FF2B5EF4-FFF2-40B4-BE49-F238E27FC236}">
              <a16:creationId xmlns:a16="http://schemas.microsoft.com/office/drawing/2014/main" id="{6E115D13-F3E9-4252-9C05-0CDE9AA0475A}"/>
            </a:ext>
          </a:extLst>
        </xdr:cNvPr>
        <xdr:cNvSpPr/>
      </xdr:nvSpPr>
      <xdr:spPr>
        <a:xfrm>
          <a:off x="1056033" y="21369191"/>
          <a:ext cx="3539592" cy="73502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84393</xdr:colOff>
      <xdr:row>83</xdr:row>
      <xdr:rowOff>96495</xdr:rowOff>
    </xdr:from>
    <xdr:to>
      <xdr:col>13</xdr:col>
      <xdr:colOff>56755</xdr:colOff>
      <xdr:row>83</xdr:row>
      <xdr:rowOff>441777</xdr:rowOff>
    </xdr:to>
    <xdr:sp macro="" textlink="">
      <xdr:nvSpPr>
        <xdr:cNvPr id="36" name="吹き出し: 角を丸めた四角形 35">
          <a:extLst>
            <a:ext uri="{FF2B5EF4-FFF2-40B4-BE49-F238E27FC236}">
              <a16:creationId xmlns:a16="http://schemas.microsoft.com/office/drawing/2014/main" id="{E3DE98DD-FF3F-41FB-ACC9-31CA1D8991BD}"/>
            </a:ext>
          </a:extLst>
        </xdr:cNvPr>
        <xdr:cNvSpPr/>
      </xdr:nvSpPr>
      <xdr:spPr>
        <a:xfrm>
          <a:off x="3511322" y="17303615"/>
          <a:ext cx="1546058" cy="345282"/>
        </a:xfrm>
        <a:prstGeom prst="wedgeRoundRectCallout">
          <a:avLst>
            <a:gd name="adj1" fmla="val -96908"/>
            <a:gd name="adj2" fmla="val 12437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12</xdr:col>
      <xdr:colOff>1880</xdr:colOff>
      <xdr:row>87</xdr:row>
      <xdr:rowOff>12332</xdr:rowOff>
    </xdr:from>
    <xdr:to>
      <xdr:col>13</xdr:col>
      <xdr:colOff>194612</xdr:colOff>
      <xdr:row>87</xdr:row>
      <xdr:rowOff>372581</xdr:rowOff>
    </xdr:to>
    <xdr:sp macro="" textlink="">
      <xdr:nvSpPr>
        <xdr:cNvPr id="37" name="四角形: 角を丸くする 36">
          <a:extLst>
            <a:ext uri="{FF2B5EF4-FFF2-40B4-BE49-F238E27FC236}">
              <a16:creationId xmlns:a16="http://schemas.microsoft.com/office/drawing/2014/main" id="{605B6599-118E-4684-B859-1CDFA1CDDF7E}"/>
            </a:ext>
          </a:extLst>
        </xdr:cNvPr>
        <xdr:cNvSpPr/>
      </xdr:nvSpPr>
      <xdr:spPr>
        <a:xfrm>
          <a:off x="4609081" y="18668908"/>
          <a:ext cx="586156" cy="360249"/>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14824</xdr:colOff>
      <xdr:row>92</xdr:row>
      <xdr:rowOff>379084</xdr:rowOff>
    </xdr:from>
    <xdr:to>
      <xdr:col>14</xdr:col>
      <xdr:colOff>10354</xdr:colOff>
      <xdr:row>94</xdr:row>
      <xdr:rowOff>24912</xdr:rowOff>
    </xdr:to>
    <xdr:sp macro="" textlink="">
      <xdr:nvSpPr>
        <xdr:cNvPr id="38" name="四角形: 角を丸くする 37">
          <a:extLst>
            <a:ext uri="{FF2B5EF4-FFF2-40B4-BE49-F238E27FC236}">
              <a16:creationId xmlns:a16="http://schemas.microsoft.com/office/drawing/2014/main" id="{7A5047B2-CC9B-4D69-8769-C25E53CD5AD8}"/>
            </a:ext>
          </a:extLst>
        </xdr:cNvPr>
        <xdr:cNvSpPr/>
      </xdr:nvSpPr>
      <xdr:spPr>
        <a:xfrm>
          <a:off x="4622025" y="20951013"/>
          <a:ext cx="606372" cy="411970"/>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381167</xdr:colOff>
      <xdr:row>89</xdr:row>
      <xdr:rowOff>365241</xdr:rowOff>
    </xdr:from>
    <xdr:to>
      <xdr:col>13</xdr:col>
      <xdr:colOff>213765</xdr:colOff>
      <xdr:row>90</xdr:row>
      <xdr:rowOff>367267</xdr:rowOff>
    </xdr:to>
    <xdr:sp macro="" textlink="">
      <xdr:nvSpPr>
        <xdr:cNvPr id="39" name="四角形: 角を丸くする 38">
          <a:extLst>
            <a:ext uri="{FF2B5EF4-FFF2-40B4-BE49-F238E27FC236}">
              <a16:creationId xmlns:a16="http://schemas.microsoft.com/office/drawing/2014/main" id="{3A230C63-2245-4733-9393-A6B6300970E9}"/>
            </a:ext>
          </a:extLst>
        </xdr:cNvPr>
        <xdr:cNvSpPr/>
      </xdr:nvSpPr>
      <xdr:spPr>
        <a:xfrm>
          <a:off x="4594944" y="19787958"/>
          <a:ext cx="619446" cy="385097"/>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1205</xdr:colOff>
      <xdr:row>95</xdr:row>
      <xdr:rowOff>356687</xdr:rowOff>
    </xdr:from>
    <xdr:to>
      <xdr:col>13</xdr:col>
      <xdr:colOff>193935</xdr:colOff>
      <xdr:row>96</xdr:row>
      <xdr:rowOff>372717</xdr:rowOff>
    </xdr:to>
    <xdr:sp macro="" textlink="">
      <xdr:nvSpPr>
        <xdr:cNvPr id="40" name="四角形: 角を丸くする 39">
          <a:extLst>
            <a:ext uri="{FF2B5EF4-FFF2-40B4-BE49-F238E27FC236}">
              <a16:creationId xmlns:a16="http://schemas.microsoft.com/office/drawing/2014/main" id="{68672B76-ACD6-4F06-9CF7-6B0763F07BA7}"/>
            </a:ext>
          </a:extLst>
        </xdr:cNvPr>
        <xdr:cNvSpPr/>
      </xdr:nvSpPr>
      <xdr:spPr>
        <a:xfrm>
          <a:off x="4608406" y="22077828"/>
          <a:ext cx="586154" cy="399101"/>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20707</xdr:colOff>
      <xdr:row>83</xdr:row>
      <xdr:rowOff>434837</xdr:rowOff>
    </xdr:from>
    <xdr:to>
      <xdr:col>21</xdr:col>
      <xdr:colOff>434837</xdr:colOff>
      <xdr:row>85</xdr:row>
      <xdr:rowOff>7492</xdr:rowOff>
    </xdr:to>
    <xdr:sp macro="" textlink="">
      <xdr:nvSpPr>
        <xdr:cNvPr id="41" name="四角形: 角を丸くする 40">
          <a:extLst>
            <a:ext uri="{FF2B5EF4-FFF2-40B4-BE49-F238E27FC236}">
              <a16:creationId xmlns:a16="http://schemas.microsoft.com/office/drawing/2014/main" id="{58A98922-19F7-4A61-B5F0-FB5CCE4F1986}"/>
            </a:ext>
          </a:extLst>
        </xdr:cNvPr>
        <xdr:cNvSpPr/>
      </xdr:nvSpPr>
      <xdr:spPr>
        <a:xfrm>
          <a:off x="6626087" y="17641957"/>
          <a:ext cx="1594402" cy="255970"/>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52572</xdr:colOff>
      <xdr:row>87</xdr:row>
      <xdr:rowOff>50075</xdr:rowOff>
    </xdr:from>
    <xdr:to>
      <xdr:col>21</xdr:col>
      <xdr:colOff>195466</xdr:colOff>
      <xdr:row>89</xdr:row>
      <xdr:rowOff>372961</xdr:rowOff>
    </xdr:to>
    <xdr:sp macro="" textlink="">
      <xdr:nvSpPr>
        <xdr:cNvPr id="42" name="吹き出し: 角を丸めた四角形 41">
          <a:extLst>
            <a:ext uri="{FF2B5EF4-FFF2-40B4-BE49-F238E27FC236}">
              <a16:creationId xmlns:a16="http://schemas.microsoft.com/office/drawing/2014/main" id="{BF63091D-BD9D-4778-9655-A6816AB54500}"/>
            </a:ext>
          </a:extLst>
        </xdr:cNvPr>
        <xdr:cNvSpPr/>
      </xdr:nvSpPr>
      <xdr:spPr>
        <a:xfrm>
          <a:off x="6357708" y="18706651"/>
          <a:ext cx="1623410" cy="1089027"/>
        </a:xfrm>
        <a:prstGeom prst="wedgeRoundRectCallout">
          <a:avLst>
            <a:gd name="adj1" fmla="val -12839"/>
            <a:gd name="adj2" fmla="val -12494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105</a:t>
          </a:r>
          <a:r>
            <a:rPr kumimoji="1" lang="ja-JP" altLang="en-US" sz="1100"/>
            <a:t>角、</a:t>
          </a:r>
          <a:r>
            <a:rPr kumimoji="1" lang="en-US" altLang="ja-JP" sz="1100"/>
            <a:t>120</a:t>
          </a:r>
          <a:r>
            <a:rPr kumimoji="1" lang="ja-JP" altLang="en-US" sz="1100"/>
            <a:t>角以外の柱を入力したい場合には数値入力してください。</a:t>
          </a:r>
        </a:p>
      </xdr:txBody>
    </xdr:sp>
    <xdr:clientData/>
  </xdr:twoCellAnchor>
  <xdr:twoCellAnchor>
    <xdr:from>
      <xdr:col>2</xdr:col>
      <xdr:colOff>113886</xdr:colOff>
      <xdr:row>78</xdr:row>
      <xdr:rowOff>37907</xdr:rowOff>
    </xdr:from>
    <xdr:to>
      <xdr:col>9</xdr:col>
      <xdr:colOff>65240</xdr:colOff>
      <xdr:row>80</xdr:row>
      <xdr:rowOff>163442</xdr:rowOff>
    </xdr:to>
    <xdr:sp macro="" textlink="">
      <xdr:nvSpPr>
        <xdr:cNvPr id="43" name="吹き出し: 角を丸めた四角形 42">
          <a:extLst>
            <a:ext uri="{FF2B5EF4-FFF2-40B4-BE49-F238E27FC236}">
              <a16:creationId xmlns:a16="http://schemas.microsoft.com/office/drawing/2014/main" id="{6511808C-BCE7-4246-BCA5-2B7C6124ECE5}"/>
            </a:ext>
          </a:extLst>
        </xdr:cNvPr>
        <xdr:cNvSpPr/>
      </xdr:nvSpPr>
      <xdr:spPr>
        <a:xfrm>
          <a:off x="859321" y="16199347"/>
          <a:ext cx="2632848" cy="539666"/>
        </a:xfrm>
        <a:prstGeom prst="wedgeRoundRectCallout">
          <a:avLst>
            <a:gd name="adj1" fmla="val -73874"/>
            <a:gd name="adj2" fmla="val -6045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3</a:t>
          </a:r>
          <a:r>
            <a:rPr kumimoji="1" lang="ja-JP" altLang="en-US" sz="1100"/>
            <a:t>の方法を採用する場合にはチェックボックスに☑を入力します。</a:t>
          </a:r>
        </a:p>
      </xdr:txBody>
    </xdr:sp>
    <xdr:clientData/>
  </xdr:twoCellAnchor>
  <xdr:twoCellAnchor>
    <xdr:from>
      <xdr:col>6</xdr:col>
      <xdr:colOff>352012</xdr:colOff>
      <xdr:row>97</xdr:row>
      <xdr:rowOff>224265</xdr:rowOff>
    </xdr:from>
    <xdr:to>
      <xdr:col>16</xdr:col>
      <xdr:colOff>382403</xdr:colOff>
      <xdr:row>100</xdr:row>
      <xdr:rowOff>68796</xdr:rowOff>
    </xdr:to>
    <xdr:sp macro="" textlink="">
      <xdr:nvSpPr>
        <xdr:cNvPr id="44" name="吹き出し: 角を丸めた四角形 43">
          <a:extLst>
            <a:ext uri="{FF2B5EF4-FFF2-40B4-BE49-F238E27FC236}">
              <a16:creationId xmlns:a16="http://schemas.microsoft.com/office/drawing/2014/main" id="{39A913C3-518D-4D40-B459-26F892B4B279}"/>
            </a:ext>
          </a:extLst>
        </xdr:cNvPr>
        <xdr:cNvSpPr/>
      </xdr:nvSpPr>
      <xdr:spPr>
        <a:xfrm>
          <a:off x="2598670" y="22711548"/>
          <a:ext cx="3695445" cy="579612"/>
        </a:xfrm>
        <a:prstGeom prst="wedgeRoundRectCallout">
          <a:avLst>
            <a:gd name="adj1" fmla="val 12325"/>
            <a:gd name="adj2" fmla="val -91405"/>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国交省大臣が基準強度の指定をした木材の場合は、基準強度を数値入力してください。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19050</xdr:colOff>
          <xdr:row>61</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70</xdr:row>
          <xdr:rowOff>28575</xdr:rowOff>
        </xdr:from>
        <xdr:to>
          <xdr:col>0</xdr:col>
          <xdr:colOff>266700</xdr:colOff>
          <xdr:row>71</xdr:row>
          <xdr:rowOff>38100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219075</xdr:rowOff>
        </xdr:from>
        <xdr:to>
          <xdr:col>1</xdr:col>
          <xdr:colOff>19050</xdr:colOff>
          <xdr:row>52</xdr:row>
          <xdr:rowOff>19050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207064</xdr:colOff>
      <xdr:row>49</xdr:row>
      <xdr:rowOff>103530</xdr:rowOff>
    </xdr:from>
    <xdr:to>
      <xdr:col>18</xdr:col>
      <xdr:colOff>155940</xdr:colOff>
      <xdr:row>57</xdr:row>
      <xdr:rowOff>120329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18531" y="10249726"/>
          <a:ext cx="942789" cy="16733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7</xdr:row>
          <xdr:rowOff>180975</xdr:rowOff>
        </xdr:from>
        <xdr:to>
          <xdr:col>1</xdr:col>
          <xdr:colOff>66675</xdr:colOff>
          <xdr:row>9</xdr:row>
          <xdr:rowOff>9525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152400</xdr:rowOff>
        </xdr:from>
        <xdr:to>
          <xdr:col>8</xdr:col>
          <xdr:colOff>66675</xdr:colOff>
          <xdr:row>9</xdr:row>
          <xdr:rowOff>47625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xdr:row>
          <xdr:rowOff>0</xdr:rowOff>
        </xdr:from>
        <xdr:to>
          <xdr:col>12</xdr:col>
          <xdr:colOff>371475</xdr:colOff>
          <xdr:row>9</xdr:row>
          <xdr:rowOff>9525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1</xdr:col>
          <xdr:colOff>19050</xdr:colOff>
          <xdr:row>64</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77</xdr:row>
          <xdr:rowOff>28575</xdr:rowOff>
        </xdr:from>
        <xdr:to>
          <xdr:col>0</xdr:col>
          <xdr:colOff>266700</xdr:colOff>
          <xdr:row>78</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219075</xdr:rowOff>
        </xdr:from>
        <xdr:to>
          <xdr:col>1</xdr:col>
          <xdr:colOff>19050</xdr:colOff>
          <xdr:row>54</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352011</xdr:colOff>
      <xdr:row>52</xdr:row>
      <xdr:rowOff>155298</xdr:rowOff>
    </xdr:from>
    <xdr:to>
      <xdr:col>15</xdr:col>
      <xdr:colOff>284819</xdr:colOff>
      <xdr:row>60</xdr:row>
      <xdr:rowOff>168288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5683940" y="10508559"/>
          <a:ext cx="946599" cy="16733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7</xdr:row>
          <xdr:rowOff>180975</xdr:rowOff>
        </xdr:from>
        <xdr:to>
          <xdr:col>1</xdr:col>
          <xdr:colOff>66675</xdr:colOff>
          <xdr:row>9</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152400</xdr:rowOff>
        </xdr:from>
        <xdr:to>
          <xdr:col>8</xdr:col>
          <xdr:colOff>66675</xdr:colOff>
          <xdr:row>9</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xdr:row>
          <xdr:rowOff>0</xdr:rowOff>
        </xdr:from>
        <xdr:to>
          <xdr:col>12</xdr:col>
          <xdr:colOff>371475</xdr:colOff>
          <xdr:row>9</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133350</xdr:colOff>
      <xdr:row>53</xdr:row>
      <xdr:rowOff>167640</xdr:rowOff>
    </xdr:from>
    <xdr:to>
      <xdr:col>5</xdr:col>
      <xdr:colOff>390525</xdr:colOff>
      <xdr:row>55</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3350" y="14436090"/>
          <a:ext cx="3286125"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1</a:t>
          </a:r>
          <a:r>
            <a:rPr kumimoji="1" lang="ja-JP" altLang="en-US" sz="1100"/>
            <a:t>　</a:t>
          </a:r>
          <a:r>
            <a:rPr kumimoji="1" lang="en-US" altLang="ja-JP" sz="1100"/>
            <a:t>2</a:t>
          </a:r>
          <a:r>
            <a:rPr kumimoji="1" lang="ja-JP" altLang="en-US" sz="1100"/>
            <a:t>階建ての</a:t>
          </a:r>
          <a:r>
            <a:rPr kumimoji="1" lang="en-US" altLang="ja-JP" sz="1100"/>
            <a:t>2</a:t>
          </a:r>
          <a:r>
            <a:rPr kumimoji="1" lang="ja-JP" altLang="en-US" sz="1100"/>
            <a:t>階が支える部分の固定荷重と積載荷重の和</a:t>
          </a:r>
        </a:p>
      </xdr:txBody>
    </xdr:sp>
    <xdr:clientData/>
  </xdr:twoCellAnchor>
  <xdr:twoCellAnchor>
    <xdr:from>
      <xdr:col>5</xdr:col>
      <xdr:colOff>1085850</xdr:colOff>
      <xdr:row>54</xdr:row>
      <xdr:rowOff>38100</xdr:rowOff>
    </xdr:from>
    <xdr:to>
      <xdr:col>9</xdr:col>
      <xdr:colOff>104775</xdr:colOff>
      <xdr:row>56</xdr:row>
      <xdr:rowOff>76200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114800" y="14678025"/>
          <a:ext cx="423862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2</a:t>
          </a:r>
          <a:r>
            <a:rPr kumimoji="1" lang="ja-JP" altLang="en-US" sz="1100"/>
            <a:t>　</a:t>
          </a:r>
          <a:r>
            <a:rPr kumimoji="1" lang="en-US" altLang="ja-JP" sz="1100"/>
            <a:t>2</a:t>
          </a:r>
          <a:r>
            <a:rPr kumimoji="1" lang="ja-JP" altLang="en-US" sz="1100"/>
            <a:t>階建ての</a:t>
          </a:r>
          <a:r>
            <a:rPr kumimoji="1" lang="en-US" altLang="ja-JP" sz="1100"/>
            <a:t>1</a:t>
          </a:r>
          <a:r>
            <a:rPr kumimoji="1" lang="ja-JP" altLang="en-US" sz="1100"/>
            <a:t>階が支える部分の固定荷重と積載荷重の和</a:t>
          </a:r>
        </a:p>
      </xdr:txBody>
    </xdr:sp>
    <xdr:clientData/>
  </xdr:twoCellAnchor>
  <xdr:twoCellAnchor>
    <xdr:from>
      <xdr:col>0</xdr:col>
      <xdr:colOff>106680</xdr:colOff>
      <xdr:row>63</xdr:row>
      <xdr:rowOff>171450</xdr:rowOff>
    </xdr:from>
    <xdr:to>
      <xdr:col>6</xdr:col>
      <xdr:colOff>335280</xdr:colOff>
      <xdr:row>65</xdr:row>
      <xdr:rowOff>41910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6680" y="14058900"/>
          <a:ext cx="4448175" cy="356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3 </a:t>
          </a:r>
          <a:r>
            <a:rPr kumimoji="1" lang="ja-JP" altLang="en-US" sz="1100"/>
            <a:t>　平屋建ての</a:t>
          </a:r>
          <a:r>
            <a:rPr kumimoji="1" lang="en-US" altLang="ja-JP" sz="1100"/>
            <a:t>1</a:t>
          </a:r>
          <a:r>
            <a:rPr kumimoji="1" lang="ja-JP" altLang="en-US" sz="1100"/>
            <a:t>階が支える部分の固定荷重と積載荷重の和</a:t>
          </a:r>
        </a:p>
      </xdr:txBody>
    </xdr:sp>
    <xdr:clientData/>
  </xdr:twoCellAnchor>
  <xdr:oneCellAnchor>
    <xdr:from>
      <xdr:col>1</xdr:col>
      <xdr:colOff>133350</xdr:colOff>
      <xdr:row>230</xdr:row>
      <xdr:rowOff>254158</xdr:rowOff>
    </xdr:from>
    <xdr:ext cx="3314699" cy="629468"/>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57200" y="55099108"/>
              <a:ext cx="3314699" cy="629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3.46</m:t>
                        </m:r>
                        <m:r>
                          <a:rPr kumimoji="1" lang="en-US" altLang="ja-JP" sz="1100" i="1">
                            <a:latin typeface="Cambria Math" panose="02040503050406030204" pitchFamily="18" charset="0"/>
                          </a:rPr>
                          <m:t>𝑙</m:t>
                        </m:r>
                      </m:num>
                      <m:den>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𝑑</m:t>
                            </m:r>
                          </m:e>
                          <m:sub>
                            <m:r>
                              <a:rPr kumimoji="1" lang="en-US" altLang="ja-JP" sz="1100" i="1">
                                <a:latin typeface="Cambria Math" panose="02040503050406030204" pitchFamily="18" charset="0"/>
                              </a:rPr>
                              <m:t>𝑏</m:t>
                            </m:r>
                          </m:sub>
                        </m:sSub>
                      </m:den>
                    </m:f>
                    <m:r>
                      <a:rPr kumimoji="1" lang="en-US" altLang="ja-JP" sz="1100" i="1">
                        <a:latin typeface="Cambria Math" panose="02040503050406030204" pitchFamily="18" charset="0"/>
                        <a:ea typeface="Cambria Math" panose="02040503050406030204" pitchFamily="18" charset="0"/>
                      </a:rPr>
                      <m:t>≤30</m:t>
                    </m:r>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ea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5" name="テキスト ボックス 4">
              <a:extLst>
                <a:ext uri="{FF2B5EF4-FFF2-40B4-BE49-F238E27FC236}">
                  <a16:creationId xmlns:a16="http://schemas.microsoft.com/office/drawing/2014/main" id="{78FA274A-4015-4486-B183-86D7D980A298}"/>
                </a:ext>
              </a:extLst>
            </xdr:cNvPr>
            <xdr:cNvSpPr txBox="1"/>
          </xdr:nvSpPr>
          <xdr:spPr>
            <a:xfrm>
              <a:off x="457200" y="55099108"/>
              <a:ext cx="3314699" cy="629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rPr>
                <a:t>3.46𝑙/𝑑_𝑏 </a:t>
              </a:r>
              <a:r>
                <a:rPr kumimoji="1" lang="en-US" altLang="ja-JP" sz="1100" i="0">
                  <a:latin typeface="Cambria Math" panose="02040503050406030204" pitchFamily="18" charset="0"/>
                  <a:ea typeface="Cambria Math" panose="02040503050406030204" pitchFamily="18" charset="0"/>
                </a:rPr>
                <a:t>≤30</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ea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a:t>
              </a:r>
              <a:r>
                <a:rPr kumimoji="1" lang="ja-JP" altLang="en-US" sz="1100" i="0">
                  <a:solidFill>
                    <a:schemeClr val="tx1"/>
                  </a:solidFill>
                  <a:effectLst/>
                  <a:latin typeface="+mn-lt"/>
                  <a:ea typeface="+mn-ea"/>
                  <a:cs typeface="+mn-cs"/>
                </a:rPr>
                <a:t> "</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0</xdr:col>
      <xdr:colOff>243840</xdr:colOff>
      <xdr:row>230</xdr:row>
      <xdr:rowOff>217170</xdr:rowOff>
    </xdr:from>
    <xdr:to>
      <xdr:col>1</xdr:col>
      <xdr:colOff>161925</xdr:colOff>
      <xdr:row>238</xdr:row>
      <xdr:rowOff>180975</xdr:rowOff>
    </xdr:to>
    <xdr:sp macro="" textlink="">
      <xdr:nvSpPr>
        <xdr:cNvPr id="8" name="左中かっこ 7">
          <a:extLst>
            <a:ext uri="{FF2B5EF4-FFF2-40B4-BE49-F238E27FC236}">
              <a16:creationId xmlns:a16="http://schemas.microsoft.com/office/drawing/2014/main" id="{00000000-0008-0000-0500-000008000000}"/>
            </a:ext>
          </a:extLst>
        </xdr:cNvPr>
        <xdr:cNvSpPr/>
      </xdr:nvSpPr>
      <xdr:spPr>
        <a:xfrm>
          <a:off x="243840" y="61053345"/>
          <a:ext cx="165735" cy="204978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257176</xdr:colOff>
      <xdr:row>233</xdr:row>
      <xdr:rowOff>47625</xdr:rowOff>
    </xdr:from>
    <xdr:ext cx="3981450" cy="662489"/>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581026" y="55778400"/>
              <a:ext cx="3981450" cy="66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i="1">
                        <a:latin typeface="Cambria Math" panose="02040503050406030204" pitchFamily="18" charset="0"/>
                        <a:ea typeface="Cambria Math" panose="02040503050406030204" pitchFamily="18" charset="0"/>
                      </a:rPr>
                      <m:t>30&lt;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r>
                      <a:rPr kumimoji="1" lang="en-US" altLang="ja-JP" sz="1100" i="1">
                        <a:solidFill>
                          <a:schemeClr val="tx1"/>
                        </a:solidFill>
                        <a:effectLst/>
                        <a:latin typeface="Cambria Math" panose="02040503050406030204" pitchFamily="18" charset="0"/>
                        <a:ea typeface="+mn-ea"/>
                        <a:cs typeface="+mn-cs"/>
                      </a:rPr>
                      <m:t>≤100</m:t>
                    </m:r>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d>
                          <m:dPr>
                            <m:ctrlPr>
                              <a:rPr kumimoji="1" lang="en-US" altLang="ja-JP" sz="1100" i="1">
                                <a:solidFill>
                                  <a:schemeClr val="tx1"/>
                                </a:solidFill>
                                <a:effectLst/>
                                <a:latin typeface="Cambria Math" panose="02040503050406030204" pitchFamily="18" charset="0"/>
                                <a:ea typeface="+mn-ea"/>
                                <a:cs typeface="+mn-cs"/>
                              </a:rPr>
                            </m:ctrlPr>
                          </m:dPr>
                          <m:e>
                            <m:r>
                              <a:rPr kumimoji="1" lang="en-US" altLang="ja-JP" sz="1100" i="1">
                                <a:solidFill>
                                  <a:schemeClr val="tx1"/>
                                </a:solidFill>
                                <a:effectLst/>
                                <a:latin typeface="Cambria Math" panose="02040503050406030204" pitchFamily="18" charset="0"/>
                                <a:ea typeface="+mn-ea"/>
                                <a:cs typeface="+mn-cs"/>
                              </a:rPr>
                              <m:t>1.3</m:t>
                            </m:r>
                            <m:r>
                              <a:rPr kumimoji="1" lang="ja-JP" altLang="en-US" sz="110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0.0346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e>
                        </m:d>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9" name="テキスト ボックス 8">
              <a:extLst>
                <a:ext uri="{FF2B5EF4-FFF2-40B4-BE49-F238E27FC236}">
                  <a16:creationId xmlns:a16="http://schemas.microsoft.com/office/drawing/2014/main" id="{FE866228-9804-4DFF-830F-00D5C1E3A167}"/>
                </a:ext>
              </a:extLst>
            </xdr:cNvPr>
            <xdr:cNvSpPr txBox="1"/>
          </xdr:nvSpPr>
          <xdr:spPr>
            <a:xfrm>
              <a:off x="581026" y="55778400"/>
              <a:ext cx="3981450" cy="66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ea typeface="Cambria Math" panose="02040503050406030204" pitchFamily="18" charset="0"/>
                </a:rPr>
                <a:t>30&lt;</a:t>
              </a:r>
              <a:r>
                <a:rPr kumimoji="1" lang="en-US" altLang="ja-JP" sz="1100" i="0">
                  <a:solidFill>
                    <a:schemeClr val="tx1"/>
                  </a:solidFill>
                  <a:effectLst/>
                  <a:latin typeface="Cambria Math" panose="02040503050406030204" pitchFamily="18" charset="0"/>
                  <a:ea typeface="+mn-ea"/>
                  <a:cs typeface="+mn-cs"/>
                </a:rPr>
                <a:t>3.46𝑙/𝑑_𝑏 ≤100</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 (1.3</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0.0346𝑙/𝑑_𝑏 )</a:t>
              </a:r>
              <a:r>
                <a:rPr kumimoji="1" lang="ja-JP" altLang="en-US" sz="1100" i="0">
                  <a:solidFill>
                    <a:schemeClr val="tx1"/>
                  </a:solidFill>
                  <a:effectLst/>
                  <a:latin typeface="+mn-lt"/>
                  <a:ea typeface="+mn-ea"/>
                  <a:cs typeface="+mn-cs"/>
                </a:rPr>
                <a:t>"</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1</xdr:col>
      <xdr:colOff>114301</xdr:colOff>
      <xdr:row>235</xdr:row>
      <xdr:rowOff>190500</xdr:rowOff>
    </xdr:from>
    <xdr:ext cx="3943350" cy="740074"/>
    <mc:AlternateContent xmlns:mc="http://schemas.openxmlformats.org/markup-compatibility/2006" xmlns:a14="http://schemas.microsoft.com/office/drawing/2010/main">
      <mc:Choice Requires="a14">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38151" y="56511825"/>
              <a:ext cx="3943350" cy="740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i="1">
                        <a:latin typeface="Cambria Math" panose="02040503050406030204" pitchFamily="18" charset="0"/>
                        <a:ea typeface="Cambria Math" panose="02040503050406030204" pitchFamily="18" charset="0"/>
                      </a:rPr>
                      <m:t>100&lt;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r>
                          <a:rPr kumimoji="1" lang="ja-JP" altLang="en-US" sz="110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3000</m:t>
                            </m:r>
                            <m:sSup>
                              <m:sSupPr>
                                <m:ctrlPr>
                                  <a:rPr kumimoji="1" lang="en-US" altLang="ja-JP" sz="1100" i="1">
                                    <a:solidFill>
                                      <a:schemeClr val="tx1"/>
                                    </a:solidFill>
                                    <a:effectLst/>
                                    <a:latin typeface="Cambria Math" panose="02040503050406030204" pitchFamily="18" charset="0"/>
                                    <a:ea typeface="+mn-ea"/>
                                    <a:cs typeface="+mn-cs"/>
                                  </a:rPr>
                                </m:ctrlPr>
                              </m:sSupPr>
                              <m:e>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i="1">
                                        <a:solidFill>
                                          <a:schemeClr val="tx1"/>
                                        </a:solidFill>
                                        <a:effectLst/>
                                        <a:latin typeface="Cambria Math" panose="02040503050406030204" pitchFamily="18" charset="0"/>
                                        <a:ea typeface="+mn-ea"/>
                                        <a:cs typeface="+mn-cs"/>
                                      </a:rPr>
                                      <m:t>𝑑</m:t>
                                    </m:r>
                                  </m:e>
                                  <m:sup>
                                    <m:r>
                                      <a:rPr kumimoji="1" lang="en-US" altLang="ja-JP" sz="1100" i="1">
                                        <a:solidFill>
                                          <a:schemeClr val="tx1"/>
                                        </a:solidFill>
                                        <a:effectLst/>
                                        <a:latin typeface="Cambria Math" panose="02040503050406030204" pitchFamily="18" charset="0"/>
                                        <a:ea typeface="+mn-ea"/>
                                        <a:cs typeface="+mn-cs"/>
                                      </a:rPr>
                                      <m:t>𝑏</m:t>
                                    </m:r>
                                  </m:sup>
                                </m:sSup>
                              </m:e>
                              <m:sup>
                                <m:r>
                                  <a:rPr kumimoji="1" lang="en-US" altLang="ja-JP" sz="1100" i="1">
                                    <a:solidFill>
                                      <a:schemeClr val="tx1"/>
                                    </a:solidFill>
                                    <a:effectLst/>
                                    <a:latin typeface="Cambria Math" panose="02040503050406030204" pitchFamily="18" charset="0"/>
                                    <a:ea typeface="+mn-ea"/>
                                    <a:cs typeface="+mn-cs"/>
                                  </a:rPr>
                                  <m:t>2</m:t>
                                </m:r>
                              </m:sup>
                            </m:sSup>
                          </m:num>
                          <m:den>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r>
                                  <a:rPr kumimoji="1" lang="en-US" altLang="ja-JP" sz="1100" i="1">
                                    <a:solidFill>
                                      <a:schemeClr val="tx1"/>
                                    </a:solidFill>
                                    <a:effectLst/>
                                    <a:latin typeface="Cambria Math" panose="02040503050406030204" pitchFamily="18" charset="0"/>
                                    <a:ea typeface="+mn-ea"/>
                                    <a:cs typeface="+mn-cs"/>
                                  </a:rPr>
                                  <m:t>)</m:t>
                                </m:r>
                              </m:e>
                              <m:sup>
                                <m:r>
                                  <a:rPr kumimoji="1" lang="en-US" altLang="ja-JP" sz="1100" i="1">
                                    <a:solidFill>
                                      <a:schemeClr val="tx1"/>
                                    </a:solidFill>
                                    <a:effectLst/>
                                    <a:latin typeface="Cambria Math" panose="02040503050406030204" pitchFamily="18" charset="0"/>
                                    <a:ea typeface="+mn-ea"/>
                                    <a:cs typeface="+mn-cs"/>
                                  </a:rPr>
                                  <m:t>2</m:t>
                                </m:r>
                              </m:sup>
                            </m:sSup>
                          </m:den>
                        </m:f>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1" name="テキスト ボックス 10">
              <a:extLst>
                <a:ext uri="{FF2B5EF4-FFF2-40B4-BE49-F238E27FC236}">
                  <a16:creationId xmlns:a16="http://schemas.microsoft.com/office/drawing/2014/main" id="{C090130F-1B36-4FDE-9FC8-650B94CECA44}"/>
                </a:ext>
              </a:extLst>
            </xdr:cNvPr>
            <xdr:cNvSpPr txBox="1"/>
          </xdr:nvSpPr>
          <xdr:spPr>
            <a:xfrm>
              <a:off x="438151" y="56511825"/>
              <a:ext cx="3943350" cy="740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ea typeface="Cambria Math" panose="02040503050406030204" pitchFamily="18" charset="0"/>
                </a:rPr>
                <a:t>100&lt;</a:t>
              </a:r>
              <a:r>
                <a:rPr kumimoji="1" lang="en-US" altLang="ja-JP" sz="1100" i="0">
                  <a:solidFill>
                    <a:schemeClr val="tx1"/>
                  </a:solidFill>
                  <a:effectLst/>
                  <a:latin typeface="Cambria Math" panose="02040503050406030204" pitchFamily="18" charset="0"/>
                  <a:ea typeface="+mn-ea"/>
                  <a:cs typeface="+mn-cs"/>
                </a:rPr>
                <a:t>3.46𝑙/𝑑_𝑏 </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(3000〖𝑑^𝑏〗^2)/〖(3.46𝑙)〗^2 </a:t>
              </a:r>
              <a:r>
                <a:rPr kumimoji="1" lang="ja-JP" altLang="en-US" sz="1100" i="0">
                  <a:solidFill>
                    <a:schemeClr val="tx1"/>
                  </a:solidFill>
                  <a:effectLst/>
                  <a:latin typeface="+mn-lt"/>
                  <a:ea typeface="+mn-ea"/>
                  <a:cs typeface="+mn-cs"/>
                </a:rPr>
                <a:t> "</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1</xdr:col>
      <xdr:colOff>65484</xdr:colOff>
      <xdr:row>157</xdr:row>
      <xdr:rowOff>123189</xdr:rowOff>
    </xdr:from>
    <xdr:ext cx="4625577" cy="830740"/>
    <mc:AlternateContent xmlns:mc="http://schemas.openxmlformats.org/markup-compatibility/2006" xmlns:a14="http://schemas.microsoft.com/office/drawing/2010/main">
      <mc:Choice Requires="a14">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13134" y="44014389"/>
              <a:ext cx="4625577" cy="830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ad>
                      <m:radPr>
                        <m:degHide m:val="on"/>
                        <m:ctrlPr>
                          <a:rPr kumimoji="1" lang="en-US" altLang="ja-JP" sz="1100" i="1">
                            <a:latin typeface="Cambria Math" panose="02040503050406030204" pitchFamily="18" charset="0"/>
                          </a:rPr>
                        </m:ctrlPr>
                      </m:radPr>
                      <m:deg/>
                      <m:e>
                        <m:f>
                          <m:fPr>
                            <m:ctrlPr>
                              <a:rPr kumimoji="1" lang="en-US" altLang="ja-JP" sz="1100" i="1">
                                <a:latin typeface="Cambria Math" panose="02040503050406030204" pitchFamily="18" charset="0"/>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latin typeface="Cambria Math" panose="02040503050406030204" pitchFamily="18" charset="0"/>
                                  </a:rPr>
                                </m:ctrlPr>
                              </m:dPr>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1.1</m:t>
                                    </m:r>
                                  </m:num>
                                  <m:den>
                                    <m:r>
                                      <a:rPr kumimoji="1" lang="en-US" altLang="ja-JP" sz="1100" b="0" i="1">
                                        <a:latin typeface="Cambria Math" panose="02040503050406030204" pitchFamily="18" charset="0"/>
                                      </a:rPr>
                                      <m:t>3</m:t>
                                    </m:r>
                                  </m:den>
                                </m:f>
                                <m:sSub>
                                  <m:sSubPr>
                                    <m:ctrlPr>
                                      <a:rPr kumimoji="1" lang="en-US" altLang="ja-JP" sz="1100" i="1">
                                        <a:latin typeface="Cambria Math" panose="02040503050406030204" pitchFamily="18" charset="0"/>
                                      </a:rPr>
                                    </m:ctrlPr>
                                  </m:sSubPr>
                                  <m:e>
                                    <m:r>
                                      <a:rPr kumimoji="1" lang="en-US" altLang="ja-JP" sz="1100" b="0" i="1">
                                        <a:latin typeface="Cambria Math" panose="02040503050406030204" pitchFamily="18" charset="0"/>
                                      </a:rPr>
                                      <m:t>𝐹</m:t>
                                    </m:r>
                                  </m:e>
                                  <m:sub>
                                    <m:r>
                                      <a:rPr kumimoji="1" lang="en-US" altLang="ja-JP" sz="1100" b="0" i="1">
                                        <a:latin typeface="Cambria Math" panose="02040503050406030204" pitchFamily="18" charset="0"/>
                                      </a:rPr>
                                      <m:t>𝐶</m:t>
                                    </m:r>
                                  </m:sub>
                                </m:sSub>
                              </m:e>
                            </m:d>
                          </m:den>
                        </m:f>
                      </m:e>
                    </m:rad>
                    <m:r>
                      <a:rPr kumimoji="1" lang="en-US" altLang="ja-JP" sz="1100" i="1">
                        <a:latin typeface="Cambria Math" panose="02040503050406030204" pitchFamily="18" charset="0"/>
                        <a:ea typeface="Cambria Math" panose="02040503050406030204" pitchFamily="18" charset="0"/>
                      </a:rPr>
                      <m:t>≥</m:t>
                    </m:r>
                    <m:f>
                      <m:fPr>
                        <m:ctrlPr>
                          <a:rPr kumimoji="1" lang="en-US" altLang="ja-JP" sz="110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𝑙</m:t>
                        </m:r>
                      </m:num>
                      <m:den>
                        <m:r>
                          <a:rPr kumimoji="1" lang="en-US" altLang="ja-JP" sz="1100" b="0" i="1">
                            <a:latin typeface="Cambria Math" panose="02040503050406030204" pitchFamily="18" charset="0"/>
                            <a:ea typeface="Cambria Math" panose="02040503050406030204" pitchFamily="18" charset="0"/>
                          </a:rPr>
                          <m:t>8.66</m:t>
                        </m:r>
                      </m:den>
                    </m:f>
                    <m:d>
                      <m:dPr>
                        <m:ctrlPr>
                          <a:rPr kumimoji="1" lang="en-US" altLang="ja-JP" sz="110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num>
                          <m:den>
                            <m:r>
                              <a:rPr kumimoji="1" lang="en-US" altLang="ja-JP" sz="1100" b="0" i="1">
                                <a:latin typeface="Cambria Math" panose="02040503050406030204" pitchFamily="18" charset="0"/>
                                <a:ea typeface="Cambria Math" panose="02040503050406030204" pitchFamily="18" charset="0"/>
                              </a:rPr>
                              <m:t>𝑙</m:t>
                            </m:r>
                          </m:den>
                        </m:f>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m:t>
                            </m:r>
                          </m:num>
                          <m:den>
                            <m:r>
                              <a:rPr kumimoji="1" lang="en-US" altLang="ja-JP" sz="1100" b="0" i="1">
                                <a:latin typeface="Cambria Math" panose="02040503050406030204" pitchFamily="18" charset="0"/>
                                <a:ea typeface="Cambria Math" panose="02040503050406030204" pitchFamily="18" charset="0"/>
                              </a:rPr>
                              <m:t>8.66</m:t>
                            </m:r>
                          </m:den>
                        </m:f>
                      </m:e>
                    </m:d>
                    <m:r>
                      <a:rPr kumimoji="1" lang="en-US" altLang="ja-JP" sz="1100" b="0" i="1">
                        <a:latin typeface="Cambria Math" panose="02040503050406030204" pitchFamily="18" charset="0"/>
                        <a:ea typeface="Cambria Math" panose="02040503050406030204" pitchFamily="18" charset="0"/>
                      </a:rPr>
                      <m:t>  :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𝑏𝑒</m:t>
                        </m:r>
                      </m:sub>
                    </m:sSub>
                    <m:r>
                      <a:rPr kumimoji="1" lang="en-US" altLang="ja-JP" sz="1100" b="0" i="1">
                        <a:latin typeface="Cambria Math" panose="02040503050406030204" pitchFamily="18" charset="0"/>
                        <a:ea typeface="Cambria Math" panose="02040503050406030204" pitchFamily="18" charset="0"/>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13134" y="44014389"/>
              <a:ext cx="4625577" cy="830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latin typeface="Cambria Math" panose="02040503050406030204" pitchFamily="18" charset="0"/>
                </a:rPr>
                <a:t>1.1/</a:t>
              </a:r>
              <a:r>
                <a:rPr kumimoji="1" lang="en-US" altLang="ja-JP" sz="1100" b="0" i="0">
                  <a:latin typeface="Cambria Math" panose="02040503050406030204" pitchFamily="18" charset="0"/>
                </a:rPr>
                <a:t>3 𝐹_𝐶 )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𝑙/8.66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=𝑑_𝑒/𝑙≥1/8.66)   :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𝑑_𝑏𝑒=</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1</xdr:col>
      <xdr:colOff>150494</xdr:colOff>
      <xdr:row>159</xdr:row>
      <xdr:rowOff>224791</xdr:rowOff>
    </xdr:from>
    <xdr:ext cx="6177201" cy="1097279"/>
    <mc:AlternateContent xmlns:mc="http://schemas.openxmlformats.org/markup-compatibility/2006" xmlns:a14="http://schemas.microsoft.com/office/drawing/2010/main">
      <mc:Choice Requires="a14">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98144" y="44611291"/>
              <a:ext cx="6177201" cy="109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100" b="0">
                <a:ea typeface="Cambria Math" panose="02040503050406030204" pitchFamily="18" charset="0"/>
              </a:endParaRPr>
            </a:p>
            <a:p>
              <a:pPr algn="l"/>
              <a14:m>
                <m:oMathPara xmlns:m="http://schemas.openxmlformats.org/officeDocument/2006/math">
                  <m:oMathParaPr>
                    <m:jc m:val="centerGroup"/>
                  </m:oMathParaPr>
                  <m:oMath xmlns:m="http://schemas.openxmlformats.org/officeDocument/2006/math">
                    <m:f>
                      <m:fPr>
                        <m:ctrlPr>
                          <a:rPr kumimoji="1" lang="en-US" altLang="ja-JP" sz="1100" i="1">
                            <a:solidFill>
                              <a:schemeClr val="tx1"/>
                            </a:solidFill>
                            <a:effectLst/>
                            <a:latin typeface="Cambria Math" panose="02040503050406030204" pitchFamily="18" charset="0"/>
                            <a:ea typeface="Cambria Math" panose="02040503050406030204" pitchFamily="18" charset="0"/>
                            <a:cs typeface="+mn-cs"/>
                          </a:rPr>
                        </m:ctrlPr>
                      </m:fPr>
                      <m:num>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𝑙</m:t>
                        </m:r>
                      </m:num>
                      <m:den>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52.70</m:t>
                        </m:r>
                      </m:den>
                    </m:f>
                    <m:r>
                      <a:rPr kumimoji="1" lang="en-US" altLang="ja-JP" sz="1100" i="1">
                        <a:solidFill>
                          <a:schemeClr val="tx1"/>
                        </a:solidFill>
                        <a:effectLst/>
                        <a:latin typeface="Cambria Math" panose="02040503050406030204" pitchFamily="18" charset="0"/>
                        <a:ea typeface="Cambria Math" panose="02040503050406030204" pitchFamily="18" charset="0"/>
                        <a:cs typeface="+mn-cs"/>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8.66</m:t>
                        </m:r>
                      </m:den>
                    </m:f>
                    <m:d>
                      <m:dPr>
                        <m:ctrlPr>
                          <a:rPr kumimoji="1" lang="en-US" altLang="ja-JP" sz="110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28.87</m:t>
                            </m:r>
                          </m:den>
                        </m:f>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𝑒</m:t>
                                </m:r>
                              </m:sub>
                            </m:sSub>
                          </m:num>
                          <m:den>
                            <m:r>
                              <a:rPr kumimoji="1" lang="en-US" altLang="ja-JP" sz="1100" b="0" i="1">
                                <a:solidFill>
                                  <a:schemeClr val="tx1"/>
                                </a:solidFill>
                                <a:effectLst/>
                                <a:latin typeface="Cambria Math" panose="02040503050406030204" pitchFamily="18" charset="0"/>
                                <a:ea typeface="+mn-ea"/>
                                <a:cs typeface="+mn-cs"/>
                              </a:rPr>
                              <m:t>𝑙</m:t>
                            </m:r>
                          </m:den>
                        </m:f>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8.66</m:t>
                            </m:r>
                          </m:den>
                        </m:f>
                      </m:e>
                    </m:d>
                    <m:r>
                      <a:rPr kumimoji="1" lang="en-US" altLang="ja-JP" sz="1100" b="0" i="1">
                        <a:solidFill>
                          <a:schemeClr val="tx1"/>
                        </a:solidFill>
                        <a:effectLst/>
                        <a:latin typeface="Cambria Math" panose="02040503050406030204" pitchFamily="18" charset="0"/>
                        <a:ea typeface="+mn-ea"/>
                        <a:cs typeface="+mn-cs"/>
                      </a:rPr>
                      <m:t>  : </m:t>
                    </m:r>
                    <m:r>
                      <a:rPr kumimoji="1" lang="ja-JP" altLang="en-US" sz="1100" b="0" i="1">
                        <a:solidFill>
                          <a:schemeClr val="tx1"/>
                        </a:solidFill>
                        <a:effectLst/>
                        <a:latin typeface="Cambria Math" panose="02040503050406030204" pitchFamily="18" charset="0"/>
                        <a:ea typeface="+mn-ea"/>
                        <a:cs typeface="+mn-cs"/>
                      </a:rPr>
                      <m:t>　　</m:t>
                    </m:r>
                    <m:r>
                      <a:rPr kumimoji="1" lang="en-US" altLang="ja-JP" sz="1100" b="0" i="1">
                        <a:solidFill>
                          <a:schemeClr val="tx1"/>
                        </a:solidFill>
                        <a:effectLst/>
                        <a:latin typeface="Cambria Math" panose="02040503050406030204" pitchFamily="18" charset="0"/>
                        <a:ea typeface="+mn-ea"/>
                        <a:cs typeface="+mn-cs"/>
                      </a:rPr>
                      <m:t> </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𝑏𝑒</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75.05</m:t>
                        </m:r>
                      </m:den>
                    </m:f>
                    <m:r>
                      <a:rPr kumimoji="1" lang="en-US" altLang="ja-JP" sz="1100" b="0" i="1">
                        <a:solidFill>
                          <a:schemeClr val="tx1"/>
                        </a:solidFill>
                        <a:effectLst/>
                        <a:latin typeface="Cambria Math" panose="02040503050406030204" pitchFamily="18" charset="0"/>
                        <a:ea typeface="+mn-ea"/>
                        <a:cs typeface="+mn-cs"/>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sSup>
                          <m:sSupPr>
                            <m:ctrlPr>
                              <a:rPr kumimoji="1" lang="en-US" altLang="ja-JP" sz="1100" i="1">
                                <a:solidFill>
                                  <a:schemeClr val="tx1"/>
                                </a:solidFill>
                                <a:effectLst/>
                                <a:latin typeface="Cambria Math" panose="02040503050406030204" pitchFamily="18" charset="0"/>
                                <a:ea typeface="+mn-ea"/>
                                <a:cs typeface="+mn-cs"/>
                              </a:rPr>
                            </m:ctrlPr>
                          </m:sSupPr>
                          <m:e>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75.05</m:t>
                                    </m:r>
                                  </m:den>
                                </m:f>
                              </m:e>
                            </m:d>
                          </m:e>
                          <m:sup>
                            <m:r>
                              <a:rPr kumimoji="1" lang="en-US" altLang="ja-JP" sz="1100" b="0" i="1">
                                <a:solidFill>
                                  <a:schemeClr val="tx1"/>
                                </a:solidFill>
                                <a:effectLst/>
                                <a:latin typeface="Cambria Math" panose="02040503050406030204" pitchFamily="18" charset="0"/>
                                <a:ea typeface="+mn-ea"/>
                                <a:cs typeface="+mn-cs"/>
                              </a:rPr>
                              <m:t>2 </m:t>
                            </m:r>
                          </m:sup>
                        </m:sSup>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1.3</m:t>
                            </m:r>
                          </m:den>
                        </m:f>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ea typeface="Cambria Math" panose="02040503050406030204" pitchFamily="18" charset="0"/>
              </a:endParaRPr>
            </a:p>
            <a:p>
              <a:pPr algn="l"/>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r>
                <a:rPr kumimoji="1" lang="en-US" altLang="ja-JP" sz="1100"/>
                <a:t>::    </a:t>
              </a:r>
              <a:endParaRPr kumimoji="1" lang="ja-JP" altLang="en-US" sz="1100"/>
            </a:p>
          </xdr:txBody>
        </xdr:sp>
      </mc:Choice>
      <mc:Fallback xmlns="">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98144" y="44611291"/>
              <a:ext cx="6177201" cy="109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100" b="0">
                <a:ea typeface="Cambria Math" panose="02040503050406030204" pitchFamily="18" charset="0"/>
              </a:endParaRPr>
            </a:p>
            <a:p>
              <a:pPr algn="l"/>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𝑙/52.70</a:t>
              </a:r>
              <a:r>
                <a:rPr kumimoji="1" lang="en-US" altLang="ja-JP" sz="110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𝑙/8.66 </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=1/28.87</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Cambria Math" panose="02040503050406030204" pitchFamily="18" charset="0"/>
                  <a:ea typeface="+mn-ea"/>
                  <a:cs typeface="+mn-cs"/>
                </a:rPr>
                <a:t>𝑑_𝑒/𝑙</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1/8.66)   : </a:t>
              </a:r>
              <a:r>
                <a:rPr kumimoji="1" lang="ja-JP" altLang="en-US"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Cambria Math" panose="02040503050406030204" pitchFamily="18" charset="0"/>
                  <a:ea typeface="+mn-ea"/>
                  <a:cs typeface="+mn-cs"/>
                </a:rPr>
                <a:t> 𝑑_𝑏𝑒=𝑙/75.05+</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𝑙/75.05)^(2 )+1/1.3</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endParaRPr kumimoji="1" lang="en-US" altLang="ja-JP" sz="1100" b="0">
                <a:ea typeface="Cambria Math" panose="02040503050406030204" pitchFamily="18" charset="0"/>
              </a:endParaRPr>
            </a:p>
            <a:p>
              <a:pPr algn="l"/>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r>
                <a:rPr kumimoji="1" lang="en-US" altLang="ja-JP" sz="1100"/>
                <a:t>::    </a:t>
              </a:r>
              <a:endParaRPr kumimoji="1" lang="ja-JP" altLang="en-US" sz="1100"/>
            </a:p>
          </xdr:txBody>
        </xdr:sp>
      </mc:Fallback>
    </mc:AlternateContent>
    <xdr:clientData/>
  </xdr:oneCellAnchor>
  <xdr:oneCellAnchor>
    <xdr:from>
      <xdr:col>1</xdr:col>
      <xdr:colOff>47624</xdr:colOff>
      <xdr:row>164</xdr:row>
      <xdr:rowOff>66675</xdr:rowOff>
    </xdr:from>
    <xdr:ext cx="5063967" cy="836960"/>
    <mc:AlternateContent xmlns:mc="http://schemas.openxmlformats.org/markup-compatibility/2006" xmlns:a14="http://schemas.microsoft.com/office/drawing/2010/main">
      <mc:Choice Requires="a14">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95274" y="45691425"/>
              <a:ext cx="5063967"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ad>
                      <m:radPr>
                        <m:degHide m:val="on"/>
                        <m:ctrlPr>
                          <a:rPr kumimoji="1" lang="en-US" altLang="ja-JP" sz="1100" i="1">
                            <a:latin typeface="Cambria Math" panose="02040503050406030204" pitchFamily="18" charset="0"/>
                          </a:rPr>
                        </m:ctrlPr>
                      </m:radPr>
                      <m:deg/>
                      <m:e>
                        <m:f>
                          <m:fPr>
                            <m:ctrlPr>
                              <a:rPr kumimoji="1" lang="en-US" altLang="ja-JP" sz="1100" i="1">
                                <a:latin typeface="Cambria Math" panose="02040503050406030204" pitchFamily="18" charset="0"/>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latin typeface="Cambria Math" panose="02040503050406030204" pitchFamily="18" charset="0"/>
                                  </a:rPr>
                                </m:ctrlPr>
                              </m:dPr>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1.1</m:t>
                                    </m:r>
                                  </m:num>
                                  <m:den>
                                    <m:r>
                                      <a:rPr kumimoji="1" lang="en-US" altLang="ja-JP" sz="1100" b="0" i="1">
                                        <a:latin typeface="Cambria Math" panose="02040503050406030204" pitchFamily="18" charset="0"/>
                                      </a:rPr>
                                      <m:t>3</m:t>
                                    </m:r>
                                  </m:den>
                                </m:f>
                                <m:sSub>
                                  <m:sSubPr>
                                    <m:ctrlPr>
                                      <a:rPr kumimoji="1" lang="en-US" altLang="ja-JP" sz="1100" i="1">
                                        <a:latin typeface="Cambria Math" panose="02040503050406030204" pitchFamily="18" charset="0"/>
                                      </a:rPr>
                                    </m:ctrlPr>
                                  </m:sSubPr>
                                  <m:e>
                                    <m:r>
                                      <a:rPr kumimoji="1" lang="en-US" altLang="ja-JP" sz="1100" b="0" i="1">
                                        <a:latin typeface="Cambria Math" panose="02040503050406030204" pitchFamily="18" charset="0"/>
                                      </a:rPr>
                                      <m:t>𝐹</m:t>
                                    </m:r>
                                  </m:e>
                                  <m:sub>
                                    <m:r>
                                      <a:rPr kumimoji="1" lang="en-US" altLang="ja-JP" sz="1100" b="0" i="1">
                                        <a:latin typeface="Cambria Math" panose="02040503050406030204" pitchFamily="18" charset="0"/>
                                      </a:rPr>
                                      <m:t>𝐶</m:t>
                                    </m:r>
                                  </m:sub>
                                </m:sSub>
                              </m:e>
                            </m:d>
                          </m:den>
                        </m:f>
                      </m:e>
                    </m:rad>
                    <m:r>
                      <a:rPr kumimoji="1" lang="en-US" altLang="ja-JP" sz="1100" i="1">
                        <a:latin typeface="Cambria Math" panose="02040503050406030204" pitchFamily="18" charset="0"/>
                        <a:ea typeface="Cambria Math" panose="02040503050406030204" pitchFamily="18" charset="0"/>
                      </a:rPr>
                      <m:t>&lt;</m:t>
                    </m:r>
                    <m:f>
                      <m:fPr>
                        <m:ctrlPr>
                          <a:rPr kumimoji="1" lang="en-US" altLang="ja-JP" sz="110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𝑙</m:t>
                        </m:r>
                      </m:num>
                      <m:den>
                        <m:r>
                          <a:rPr kumimoji="1" lang="en-US" altLang="ja-JP" sz="1100" b="0" i="1">
                            <a:latin typeface="Cambria Math" panose="02040503050406030204" pitchFamily="18" charset="0"/>
                            <a:ea typeface="Cambria Math" panose="02040503050406030204" pitchFamily="18" charset="0"/>
                          </a:rPr>
                          <m:t>52.70</m:t>
                        </m:r>
                      </m:den>
                    </m:f>
                    <m:d>
                      <m:dPr>
                        <m:ctrlPr>
                          <a:rPr kumimoji="1" lang="en-US" altLang="ja-JP" sz="110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num>
                          <m:den>
                            <m:r>
                              <a:rPr kumimoji="1" lang="en-US" altLang="ja-JP" sz="1100" b="0" i="1">
                                <a:latin typeface="Cambria Math" panose="02040503050406030204" pitchFamily="18" charset="0"/>
                                <a:ea typeface="Cambria Math" panose="02040503050406030204" pitchFamily="18" charset="0"/>
                              </a:rPr>
                              <m:t>𝑙</m:t>
                            </m:r>
                          </m:den>
                        </m:f>
                        <m:r>
                          <a:rPr kumimoji="1" lang="en-US" altLang="ja-JP" sz="1100" b="0" i="1">
                            <a:latin typeface="Cambria Math" panose="02040503050406030204" pitchFamily="18" charset="0"/>
                            <a:ea typeface="Cambria Math" panose="02040503050406030204" pitchFamily="18" charset="0"/>
                          </a:rPr>
                          <m:t>&lt;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m:t>
                            </m:r>
                          </m:num>
                          <m:den>
                            <m:r>
                              <a:rPr kumimoji="1" lang="en-US" altLang="ja-JP" sz="1100" b="0" i="1">
                                <a:latin typeface="Cambria Math" panose="02040503050406030204" pitchFamily="18" charset="0"/>
                                <a:ea typeface="Cambria Math" panose="02040503050406030204" pitchFamily="18" charset="0"/>
                              </a:rPr>
                              <m:t>28.87</m:t>
                            </m:r>
                          </m:den>
                        </m:f>
                      </m:e>
                    </m:d>
                    <m:r>
                      <a:rPr kumimoji="1" lang="en-US" altLang="ja-JP" sz="1100" b="0" i="1">
                        <a:latin typeface="Cambria Math" panose="02040503050406030204" pitchFamily="18" charset="0"/>
                        <a:ea typeface="Cambria Math" panose="02040503050406030204" pitchFamily="18" charset="0"/>
                      </a:rPr>
                      <m:t>  :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𝑏𝑒</m:t>
                        </m:r>
                      </m:sub>
                    </m:sSub>
                    <m:r>
                      <a:rPr kumimoji="1" lang="en-US" altLang="ja-JP" sz="1100" b="0" i="1">
                        <a:latin typeface="Cambria Math" panose="02040503050406030204" pitchFamily="18" charset="0"/>
                        <a:ea typeface="Cambria Math" panose="02040503050406030204" pitchFamily="18" charset="0"/>
                      </a:rPr>
                      <m:t>=</m:t>
                    </m:r>
                    <m:rad>
                      <m:radPr>
                        <m:ctrlPr>
                          <a:rPr kumimoji="1" lang="en-US" altLang="ja-JP" sz="1100" b="0" i="1">
                            <a:latin typeface="Cambria Math" panose="02040503050406030204" pitchFamily="18" charset="0"/>
                            <a:ea typeface="Cambria Math" panose="02040503050406030204" pitchFamily="18" charset="0"/>
                          </a:rPr>
                        </m:ctrlPr>
                      </m:radPr>
                      <m:deg>
                        <m:r>
                          <m:rPr>
                            <m:brk m:alnAt="7"/>
                          </m:rPr>
                          <a:rPr kumimoji="1" lang="en-US" altLang="ja-JP" sz="1100" b="0" i="1">
                            <a:latin typeface="Cambria Math" panose="02040503050406030204" pitchFamily="18" charset="0"/>
                            <a:ea typeface="Cambria Math" panose="02040503050406030204" pitchFamily="18" charset="0"/>
                          </a:rPr>
                          <m:t>4</m:t>
                        </m:r>
                      </m:deg>
                      <m:e>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12</m:t>
                            </m:r>
                            <m:sSup>
                              <m:sSupPr>
                                <m:ctrlPr>
                                  <a:rPr kumimoji="1" lang="en-US" altLang="ja-JP" sz="1100" b="0" i="1">
                                    <a:latin typeface="Cambria Math" panose="02040503050406030204" pitchFamily="18" charset="0"/>
                                    <a:ea typeface="Cambria Math" panose="02040503050406030204" pitchFamily="18" charset="0"/>
                                  </a:rPr>
                                </m:ctrlPr>
                              </m:sSupPr>
                              <m:e>
                                <m:r>
                                  <a:rPr kumimoji="1" lang="en-US" altLang="ja-JP" sz="1100" b="0" i="1">
                                    <a:latin typeface="Cambria Math" panose="02040503050406030204" pitchFamily="18" charset="0"/>
                                    <a:ea typeface="Cambria Math" panose="02040503050406030204" pitchFamily="18" charset="0"/>
                                  </a:rPr>
                                  <m:t>𝑙</m:t>
                                </m:r>
                              </m:e>
                              <m:sup>
                                <m:r>
                                  <a:rPr kumimoji="1" lang="en-US" altLang="ja-JP" sz="1100" b="0" i="1">
                                    <a:latin typeface="Cambria Math" panose="02040503050406030204" pitchFamily="18" charset="0"/>
                                    <a:ea typeface="Cambria Math" panose="02040503050406030204" pitchFamily="18" charset="0"/>
                                  </a:rPr>
                                  <m:t>2</m:t>
                                </m:r>
                              </m:sup>
                            </m:sSup>
                          </m:num>
                          <m:den>
                            <m:r>
                              <a:rPr kumimoji="1" lang="en-US" altLang="ja-JP" sz="1100" b="0" i="1">
                                <a:latin typeface="Cambria Math" panose="02040503050406030204" pitchFamily="18" charset="0"/>
                                <a:ea typeface="Cambria Math" panose="02040503050406030204" pitchFamily="18" charset="0"/>
                              </a:rPr>
                              <m:t>3000</m:t>
                            </m:r>
                          </m:den>
                        </m:f>
                        <m:r>
                          <a:rPr kumimoji="1" lang="ja-JP" altLang="en-US" sz="1100" b="0" i="1">
                            <a:latin typeface="Cambria Math" panose="02040503050406030204" pitchFamily="18" charset="0"/>
                            <a:ea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m:rPr>
                                        <m:sty m:val="p"/>
                                      </m:rPr>
                                      <a:rPr kumimoji="1" lang="en-US" altLang="ja-JP" sz="1100" i="1">
                                        <a:solidFill>
                                          <a:schemeClr val="tx1"/>
                                        </a:solidFill>
                                        <a:effectLst/>
                                        <a:latin typeface="Cambria Math" panose="02040503050406030204" pitchFamily="18" charset="0"/>
                                        <a:ea typeface="+mn-ea"/>
                                        <a:cs typeface="+mn-cs"/>
                                      </a:rPr>
                                      <m:t>d</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95274" y="45691425"/>
              <a:ext cx="5063967"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latin typeface="Cambria Math" panose="02040503050406030204" pitchFamily="18" charset="0"/>
                </a:rPr>
                <a:t>1.1/</a:t>
              </a:r>
              <a:r>
                <a:rPr kumimoji="1" lang="en-US" altLang="ja-JP" sz="1100" b="0" i="0">
                  <a:latin typeface="Cambria Math" panose="02040503050406030204" pitchFamily="18" charset="0"/>
                </a:rPr>
                <a:t>3 𝐹_𝐶 ) ))</a:t>
              </a:r>
              <a:r>
                <a:rPr kumimoji="1" lang="en-US" altLang="ja-JP" sz="1100" i="0">
                  <a:latin typeface="Cambria Math" panose="02040503050406030204" pitchFamily="18" charset="0"/>
                  <a:ea typeface="Cambria Math" panose="02040503050406030204" pitchFamily="18" charset="0"/>
                </a:rPr>
                <a:t>&lt;</a:t>
              </a:r>
              <a:r>
                <a:rPr kumimoji="1" lang="en-US" altLang="ja-JP" sz="1100" b="0" i="0">
                  <a:latin typeface="Cambria Math" panose="02040503050406030204" pitchFamily="18" charset="0"/>
                  <a:ea typeface="Cambria Math" panose="02040503050406030204" pitchFamily="18" charset="0"/>
                </a:rPr>
                <a:t>𝑙/52.70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=𝑑_𝑒/𝑙&lt;1/28.87)   :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𝑑_𝑏𝑒=∜((12𝑙^2)/3000</a:t>
              </a:r>
              <a:r>
                <a:rPr kumimoji="1" lang="ja-JP" altLang="en-US"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𝑊_d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0</xdr:col>
      <xdr:colOff>190500</xdr:colOff>
      <xdr:row>157</xdr:row>
      <xdr:rowOff>81915</xdr:rowOff>
    </xdr:from>
    <xdr:to>
      <xdr:col>1</xdr:col>
      <xdr:colOff>87630</xdr:colOff>
      <xdr:row>167</xdr:row>
      <xdr:rowOff>45720</xdr:rowOff>
    </xdr:to>
    <xdr:sp macro="" textlink="">
      <xdr:nvSpPr>
        <xdr:cNvPr id="19" name="左中かっこ 18">
          <a:extLst>
            <a:ext uri="{FF2B5EF4-FFF2-40B4-BE49-F238E27FC236}">
              <a16:creationId xmlns:a16="http://schemas.microsoft.com/office/drawing/2014/main" id="{00000000-0008-0000-0500-000013000000}"/>
            </a:ext>
          </a:extLst>
        </xdr:cNvPr>
        <xdr:cNvSpPr/>
      </xdr:nvSpPr>
      <xdr:spPr>
        <a:xfrm>
          <a:off x="190500" y="43973115"/>
          <a:ext cx="144780" cy="244030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0</xdr:colOff>
      <xdr:row>148</xdr:row>
      <xdr:rowOff>0</xdr:rowOff>
    </xdr:from>
    <xdr:ext cx="4236720" cy="408317"/>
    <mc:AlternateContent xmlns:mc="http://schemas.openxmlformats.org/markup-compatibility/2006" xmlns:a14="http://schemas.microsoft.com/office/drawing/2010/main">
      <mc:Choice Requires="a14">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323850" y="37547550"/>
              <a:ext cx="4236720" cy="408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 xmlns:m="http://schemas.openxmlformats.org/officeDocument/2006/math">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r>
                    <a:rPr kumimoji="1" lang="en-US" altLang="ja-JP" sz="1100" b="0" i="1">
                      <a:latin typeface="Cambria Math" panose="02040503050406030204" pitchFamily="18" charset="0"/>
                      <a:ea typeface="Cambria Math" panose="02040503050406030204" pitchFamily="18" charset="0"/>
                    </a:rPr>
                    <m:t>=</m:t>
                  </m:r>
                </m:oMath>
              </a14:m>
              <a:r>
                <a:rPr kumimoji="1" lang="en-US" altLang="ja-JP" sz="1100" b="0">
                  <a:solidFill>
                    <a:schemeClr val="tx1"/>
                  </a:solidFill>
                  <a:effectLst/>
                  <a:ea typeface="+mn-ea"/>
                  <a:cs typeface="+mn-cs"/>
                </a:rPr>
                <a:t>Max(</a:t>
              </a:r>
              <a14:m>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𝑏𝑒</m:t>
                      </m:r>
                    </m:sub>
                  </m:sSub>
                </m:oMath>
              </a14:m>
              <a:r>
                <a:rPr kumimoji="1" lang="ja-JP" altLang="en-US" sz="1100" b="0">
                  <a:solidFill>
                    <a:schemeClr val="tx1"/>
                  </a:solidFill>
                  <a:effectLst/>
                  <a:ea typeface="+mn-ea"/>
                  <a:cs typeface="+mn-cs"/>
                </a:rPr>
                <a:t>，</a:t>
              </a:r>
              <a14:m>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𝑠𝑒</m:t>
                      </m:r>
                    </m:sub>
                  </m:sSub>
                </m:oMath>
              </a14:m>
              <a:r>
                <a:rPr kumimoji="1" lang="en-US" altLang="ja-JP" sz="1100" b="0">
                  <a:solidFill>
                    <a:schemeClr val="tx1"/>
                  </a:solidFill>
                  <a:effectLst/>
                  <a:ea typeface="+mn-ea"/>
                  <a:cs typeface="+mn-cs"/>
                </a:rPr>
                <a:t>)</a:t>
              </a:r>
            </a:p>
            <a:p>
              <a:pPr algn="l"/>
              <a:r>
                <a:rPr kumimoji="1" lang="en-US" altLang="ja-JP" sz="1100"/>
                <a:t> </a:t>
              </a:r>
              <a:endParaRPr kumimoji="1" lang="ja-JP" altLang="en-US" sz="1100"/>
            </a:p>
          </xdr:txBody>
        </xdr:sp>
      </mc:Choice>
      <mc:Fallback xmlns="">
        <xdr:sp macro="" textlink="">
          <xdr:nvSpPr>
            <xdr:cNvPr id="20" name="テキスト ボックス 19">
              <a:extLst>
                <a:ext uri="{FF2B5EF4-FFF2-40B4-BE49-F238E27FC236}">
                  <a16:creationId xmlns:a16="http://schemas.microsoft.com/office/drawing/2014/main" id="{A8AC78DB-2C27-47C1-AD72-069A771E179C}"/>
                </a:ext>
              </a:extLst>
            </xdr:cNvPr>
            <xdr:cNvSpPr txBox="1"/>
          </xdr:nvSpPr>
          <xdr:spPr>
            <a:xfrm>
              <a:off x="323850" y="37547550"/>
              <a:ext cx="4236720" cy="408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latin typeface="Cambria Math" panose="02040503050406030204" pitchFamily="18" charset="0"/>
                  <a:ea typeface="Cambria Math" panose="02040503050406030204" pitchFamily="18" charset="0"/>
                </a:rPr>
                <a:t>𝑑_𝑒=</a:t>
              </a:r>
              <a:r>
                <a:rPr kumimoji="1" lang="en-US" altLang="ja-JP" sz="1100" b="0">
                  <a:solidFill>
                    <a:schemeClr val="tx1"/>
                  </a:solidFill>
                  <a:effectLst/>
                  <a:ea typeface="+mn-ea"/>
                  <a:cs typeface="+mn-cs"/>
                </a:rPr>
                <a:t>Max(</a:t>
              </a:r>
              <a:r>
                <a:rPr kumimoji="1" lang="en-US" altLang="ja-JP" sz="1100" b="0" i="0">
                  <a:solidFill>
                    <a:schemeClr val="tx1"/>
                  </a:solidFill>
                  <a:effectLst/>
                  <a:latin typeface="Cambria Math" panose="02040503050406030204" pitchFamily="18" charset="0"/>
                  <a:ea typeface="+mn-ea"/>
                  <a:cs typeface="+mn-cs"/>
                </a:rPr>
                <a:t>𝑑_𝑏𝑒</a:t>
              </a:r>
              <a:r>
                <a:rPr kumimoji="1" lang="ja-JP" altLang="en-US" sz="1100" b="0">
                  <a:solidFill>
                    <a:schemeClr val="tx1"/>
                  </a:solidFill>
                  <a:effectLst/>
                  <a:ea typeface="+mn-ea"/>
                  <a:cs typeface="+mn-cs"/>
                </a:rPr>
                <a:t>，</a:t>
              </a:r>
              <a:r>
                <a:rPr kumimoji="1" lang="en-US" altLang="ja-JP" sz="1100" b="0" i="0">
                  <a:solidFill>
                    <a:schemeClr val="tx1"/>
                  </a:solidFill>
                  <a:effectLst/>
                  <a:latin typeface="Cambria Math" panose="02040503050406030204" pitchFamily="18" charset="0"/>
                  <a:ea typeface="+mn-ea"/>
                  <a:cs typeface="+mn-cs"/>
                </a:rPr>
                <a:t>𝑑_𝑠𝑒</a:t>
              </a:r>
              <a:r>
                <a:rPr kumimoji="1" lang="en-US" altLang="ja-JP" sz="1100" b="0">
                  <a:solidFill>
                    <a:schemeClr val="tx1"/>
                  </a:solidFill>
                  <a:effectLst/>
                  <a:ea typeface="+mn-ea"/>
                  <a:cs typeface="+mn-cs"/>
                </a:rPr>
                <a:t>)</a:t>
              </a:r>
            </a:p>
            <a:p>
              <a:pPr algn="l"/>
              <a:r>
                <a:rPr kumimoji="1" lang="en-US" altLang="ja-JP" sz="1100"/>
                <a:t> </a:t>
              </a:r>
              <a:endParaRPr kumimoji="1" lang="ja-JP" altLang="en-US" sz="1100"/>
            </a:p>
          </xdr:txBody>
        </xdr:sp>
      </mc:Fallback>
    </mc:AlternateContent>
    <xdr:clientData/>
  </xdr:oneCellAnchor>
  <xdr:oneCellAnchor>
    <xdr:from>
      <xdr:col>0</xdr:col>
      <xdr:colOff>267890</xdr:colOff>
      <xdr:row>176</xdr:row>
      <xdr:rowOff>93423</xdr:rowOff>
    </xdr:from>
    <xdr:ext cx="1071563" cy="528927"/>
    <mc:AlternateContent xmlns:mc="http://schemas.openxmlformats.org/markup-compatibility/2006" xmlns:a14="http://schemas.microsoft.com/office/drawing/2010/main">
      <mc:Choice Requires="a14">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67890" y="45670548"/>
              <a:ext cx="1071563" cy="528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m:rPr>
                            <m:sty m:val="p"/>
                          </m:rPr>
                          <a:rPr kumimoji="1" lang="en-US" altLang="ja-JP" sz="1100" b="0" i="1">
                            <a:latin typeface="Cambria Math" panose="02040503050406030204" pitchFamily="18" charset="0"/>
                            <a:ea typeface="Cambria Math" panose="02040503050406030204" pitchFamily="18" charset="0"/>
                          </a:rPr>
                          <m:t>s</m:t>
                        </m:r>
                        <m:r>
                          <a:rPr kumimoji="1" lang="en-US" altLang="ja-JP" sz="1100" b="0" i="1">
                            <a:latin typeface="Cambria Math" panose="02040503050406030204" pitchFamily="18" charset="0"/>
                            <a:ea typeface="Cambria Math" panose="02040503050406030204" pitchFamily="18" charset="0"/>
                          </a:rPr>
                          <m:t>𝑒</m:t>
                        </m:r>
                      </m:sub>
                    </m:sSub>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12</m:t>
                            </m:r>
                          </m:e>
                        </m:rad>
                      </m:num>
                      <m:den>
                        <m:r>
                          <a:rPr kumimoji="1" lang="en-US" altLang="ja-JP" sz="1100" b="0" i="1">
                            <a:latin typeface="Cambria Math" panose="02040503050406030204" pitchFamily="18" charset="0"/>
                            <a:ea typeface="Cambria Math" panose="02040503050406030204" pitchFamily="18" charset="0"/>
                          </a:rPr>
                          <m:t>150</m:t>
                        </m:r>
                      </m:den>
                    </m:f>
                    <m:r>
                      <a:rPr kumimoji="1" lang="en-US" altLang="ja-JP" sz="1100" b="0" i="1">
                        <a:solidFill>
                          <a:schemeClr val="tx1"/>
                        </a:solidFill>
                        <a:effectLst/>
                        <a:latin typeface="Cambria Math" panose="02040503050406030204" pitchFamily="18" charset="0"/>
                        <a:ea typeface="+mn-ea"/>
                        <a:cs typeface="+mn-cs"/>
                      </a:rPr>
                      <m:t>𝑙</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21" name="テキスト ボックス 20">
              <a:extLst>
                <a:ext uri="{FF2B5EF4-FFF2-40B4-BE49-F238E27FC236}">
                  <a16:creationId xmlns:a16="http://schemas.microsoft.com/office/drawing/2014/main" id="{64157082-285D-4E36-BF6A-C67FCDF8549A}"/>
                </a:ext>
              </a:extLst>
            </xdr:cNvPr>
            <xdr:cNvSpPr txBox="1"/>
          </xdr:nvSpPr>
          <xdr:spPr>
            <a:xfrm>
              <a:off x="267890" y="45670548"/>
              <a:ext cx="1071563" cy="528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latin typeface="Cambria Math" panose="02040503050406030204" pitchFamily="18" charset="0"/>
                  <a:ea typeface="Cambria Math" panose="02040503050406030204" pitchFamily="18" charset="0"/>
                </a:rPr>
                <a:t>𝑑_s𝑒=√12/150</a:t>
              </a:r>
              <a:r>
                <a:rPr kumimoji="1" lang="en-US" altLang="ja-JP" sz="1100" b="0" i="0">
                  <a:solidFill>
                    <a:schemeClr val="tx1"/>
                  </a:solidFill>
                  <a:effectLst/>
                  <a:latin typeface="Cambria Math" panose="02040503050406030204" pitchFamily="18" charset="0"/>
                  <a:ea typeface="+mn-ea"/>
                  <a:cs typeface="+mn-cs"/>
                </a:rPr>
                <a:t> 𝑙</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5</xdr:col>
      <xdr:colOff>441960</xdr:colOff>
      <xdr:row>44</xdr:row>
      <xdr:rowOff>175259</xdr:rowOff>
    </xdr:from>
    <xdr:to>
      <xdr:col>9</xdr:col>
      <xdr:colOff>57926</xdr:colOff>
      <xdr:row>55</xdr:row>
      <xdr:rowOff>42481</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3413760" y="12710159"/>
          <a:ext cx="4921391" cy="2591372"/>
          <a:chOff x="3505200" y="7848600"/>
          <a:chExt cx="4747423" cy="2481930"/>
        </a:xfrm>
      </xdr:grpSpPr>
      <xdr:pic>
        <xdr:nvPicPr>
          <xdr:cNvPr id="29" name="図 28">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848600"/>
            <a:ext cx="4278167" cy="248193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5760720" y="7978140"/>
            <a:ext cx="2367740"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chemeClr val="tx1"/>
                </a:solidFill>
              </a:rPr>
              <a:t>（</a:t>
            </a:r>
            <a:r>
              <a:rPr kumimoji="1" lang="en-US" altLang="ja-JP" sz="1200" i="1">
                <a:solidFill>
                  <a:schemeClr val="tx1"/>
                </a:solidFill>
              </a:rPr>
              <a:t>G</a:t>
            </a:r>
            <a:r>
              <a:rPr kumimoji="1" lang="en-US" altLang="ja-JP" sz="1200" baseline="-25000">
                <a:solidFill>
                  <a:schemeClr val="tx1"/>
                </a:solidFill>
              </a:rPr>
              <a:t>r</a:t>
            </a:r>
            <a:r>
              <a:rPr kumimoji="1" lang="ja-JP" altLang="en-US" sz="1200">
                <a:solidFill>
                  <a:schemeClr val="tx1"/>
                </a:solidFill>
              </a:rPr>
              <a:t>＋</a:t>
            </a:r>
            <a:r>
              <a:rPr kumimoji="1" lang="en-US" altLang="ja-JP" sz="1200" i="1">
                <a:solidFill>
                  <a:schemeClr val="tx1"/>
                </a:solidFill>
              </a:rPr>
              <a:t>D</a:t>
            </a:r>
            <a:r>
              <a:rPr kumimoji="1" lang="en-US" altLang="ja-JP" sz="1200" baseline="-25000">
                <a:solidFill>
                  <a:schemeClr val="tx1"/>
                </a:solidFill>
              </a:rPr>
              <a:t>1</a:t>
            </a:r>
            <a:r>
              <a:rPr kumimoji="1" lang="ja-JP" altLang="en-US" sz="1200">
                <a:solidFill>
                  <a:schemeClr val="tx1"/>
                </a:solidFill>
              </a:rPr>
              <a:t>＋</a:t>
            </a:r>
            <a:r>
              <a:rPr kumimoji="1" lang="en-US" altLang="ja-JP" sz="1200" i="1">
                <a:solidFill>
                  <a:schemeClr val="tx1"/>
                </a:solidFill>
              </a:rPr>
              <a:t>D</a:t>
            </a:r>
            <a:r>
              <a:rPr kumimoji="1" lang="en-US" altLang="ja-JP" sz="1200" baseline="-25000">
                <a:solidFill>
                  <a:schemeClr val="tx1"/>
                </a:solidFill>
              </a:rPr>
              <a:t>2</a:t>
            </a:r>
            <a:r>
              <a:rPr kumimoji="1" lang="ja-JP" altLang="ja-JP" sz="1100">
                <a:solidFill>
                  <a:schemeClr val="tx1"/>
                </a:solidFill>
                <a:effectLst/>
                <a:latin typeface="+mn-lt"/>
                <a:ea typeface="+mn-ea"/>
                <a:cs typeface="+mn-cs"/>
              </a:rPr>
              <a:t>＋</a:t>
            </a:r>
            <a:r>
              <a:rPr kumimoji="1" lang="en-US" altLang="ja-JP" sz="1100" i="1">
                <a:solidFill>
                  <a:schemeClr val="tx1"/>
                </a:solidFill>
                <a:effectLst/>
                <a:latin typeface="+mn-lt"/>
                <a:ea typeface="+mn-ea"/>
                <a:cs typeface="+mn-cs"/>
              </a:rPr>
              <a:t>M</a:t>
            </a:r>
            <a:r>
              <a:rPr kumimoji="1" lang="en-US" altLang="ja-JP" sz="1100" baseline="-25000">
                <a:solidFill>
                  <a:schemeClr val="tx1"/>
                </a:solidFill>
                <a:effectLst/>
                <a:latin typeface="+mn-lt"/>
                <a:ea typeface="+mn-ea"/>
                <a:cs typeface="+mn-cs"/>
              </a:rPr>
              <a:t>s</a:t>
            </a:r>
            <a:r>
              <a:rPr kumimoji="1" lang="ja-JP" altLang="en-US" sz="1200">
                <a:solidFill>
                  <a:schemeClr val="tx1"/>
                </a:solidFill>
              </a:rPr>
              <a:t>）</a:t>
            </a:r>
            <a:r>
              <a:rPr kumimoji="1" lang="en-US" altLang="ja-JP" sz="1200">
                <a:solidFill>
                  <a:schemeClr val="tx1"/>
                </a:solidFill>
              </a:rPr>
              <a:t>×max(</a:t>
            </a:r>
            <a:r>
              <a:rPr kumimoji="1" lang="en-US" altLang="ja-JP" sz="1200" i="1">
                <a:solidFill>
                  <a:schemeClr val="tx1"/>
                </a:solidFill>
                <a:effectLst/>
                <a:latin typeface="+mn-lt"/>
                <a:ea typeface="+mn-ea"/>
                <a:cs typeface="+mn-cs"/>
              </a:rPr>
              <a:t>A</a:t>
            </a:r>
            <a:r>
              <a:rPr kumimoji="1" lang="en-US" altLang="ja-JP" sz="1100" baseline="-25000">
                <a:solidFill>
                  <a:schemeClr val="tx1"/>
                </a:solidFill>
                <a:effectLst/>
                <a:latin typeface="+mn-lt"/>
                <a:ea typeface="+mn-ea"/>
                <a:cs typeface="+mn-cs"/>
              </a:rPr>
              <a:t>f1</a:t>
            </a:r>
            <a:r>
              <a:rPr kumimoji="1" lang="en-US" altLang="ja-JP" sz="1200">
                <a:solidFill>
                  <a:schemeClr val="tx1"/>
                </a:solidFill>
              </a:rPr>
              <a:t>,</a:t>
            </a:r>
            <a:r>
              <a:rPr kumimoji="1" lang="en-US" altLang="ja-JP" sz="1200" i="1">
                <a:solidFill>
                  <a:schemeClr val="tx1"/>
                </a:solidFill>
              </a:rPr>
              <a:t>A</a:t>
            </a:r>
            <a:r>
              <a:rPr kumimoji="1" lang="en-US" altLang="ja-JP" sz="1200" baseline="-25000">
                <a:solidFill>
                  <a:schemeClr val="tx1"/>
                </a:solidFill>
              </a:rPr>
              <a:t>f2</a:t>
            </a:r>
            <a:r>
              <a:rPr kumimoji="1" lang="en-US" altLang="ja-JP" sz="1200" baseline="0">
                <a:solidFill>
                  <a:schemeClr val="tx1"/>
                </a:solidFill>
              </a:rPr>
              <a:t>)</a:t>
            </a:r>
            <a:endParaRPr kumimoji="1" lang="ja-JP" altLang="en-US" sz="1200" baseline="0">
              <a:solidFill>
                <a:schemeClr val="tx1"/>
              </a:solidFill>
            </a:endParaRPr>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5867400" y="8557260"/>
            <a:ext cx="2072253"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ow2</a:t>
            </a:r>
            <a:r>
              <a:rPr kumimoji="1" lang="ja-JP" altLang="en-US" sz="1200"/>
              <a:t>＋</a:t>
            </a:r>
            <a:r>
              <a:rPr kumimoji="1" lang="en-US" altLang="ja-JP" sz="1100" i="1">
                <a:solidFill>
                  <a:schemeClr val="tx1"/>
                </a:solidFill>
                <a:effectLst/>
                <a:latin typeface="+mn-lt"/>
                <a:ea typeface="+mn-ea"/>
                <a:cs typeface="+mn-cs"/>
              </a:rPr>
              <a:t>G</a:t>
            </a:r>
            <a:r>
              <a:rPr kumimoji="1" lang="en-US" altLang="ja-JP" sz="1100" baseline="-25000">
                <a:solidFill>
                  <a:schemeClr val="tx1"/>
                </a:solidFill>
                <a:effectLst/>
                <a:latin typeface="+mn-lt"/>
                <a:ea typeface="+mn-ea"/>
                <a:cs typeface="+mn-cs"/>
              </a:rPr>
              <a:t>iw2</a:t>
            </a:r>
            <a:r>
              <a:rPr kumimoji="1" lang="ja-JP" altLang="ja-JP" sz="1100">
                <a:solidFill>
                  <a:schemeClr val="tx1"/>
                </a:solidFill>
                <a:effectLst/>
                <a:latin typeface="+mn-lt"/>
                <a:ea typeface="+mn-ea"/>
                <a:cs typeface="+mn-cs"/>
              </a:rPr>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25000"/>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5981700" y="9753600"/>
            <a:ext cx="2270923"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ow1</a:t>
            </a:r>
            <a:r>
              <a:rPr kumimoji="1" lang="ja-JP" altLang="en-US" sz="1200"/>
              <a:t>＋</a:t>
            </a:r>
            <a:r>
              <a:rPr kumimoji="1" lang="en-US" altLang="ja-JP" sz="1200" i="1"/>
              <a:t>G</a:t>
            </a:r>
            <a:r>
              <a:rPr kumimoji="1" lang="en-US" altLang="ja-JP" sz="1200" baseline="-25000"/>
              <a:t>iw1</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f1</a:t>
            </a:r>
            <a:endParaRPr kumimoji="1" lang="ja-JP" altLang="en-US" sz="1200" baseline="-25000"/>
          </a:p>
        </xdr:txBody>
      </xdr:sp>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5974080" y="9395460"/>
            <a:ext cx="125316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f</a:t>
            </a:r>
            <a:r>
              <a:rPr kumimoji="1" lang="ja-JP" altLang="en-US" sz="1200"/>
              <a:t>＋</a:t>
            </a:r>
            <a:r>
              <a:rPr kumimoji="1" lang="en-US" altLang="ja-JP" sz="1200" i="1"/>
              <a:t>P</a:t>
            </a:r>
            <a:r>
              <a:rPr kumimoji="1" lang="en-US" altLang="ja-JP" sz="1200" baseline="-25000"/>
              <a:t>1</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0"/>
          </a:p>
        </xdr:txBody>
      </xdr:sp>
    </xdr:grpSp>
    <xdr:clientData/>
  </xdr:twoCellAnchor>
  <xdr:twoCellAnchor editAs="oneCell">
    <xdr:from>
      <xdr:col>0</xdr:col>
      <xdr:colOff>0</xdr:colOff>
      <xdr:row>44</xdr:row>
      <xdr:rowOff>156211</xdr:rowOff>
    </xdr:from>
    <xdr:to>
      <xdr:col>5</xdr:col>
      <xdr:colOff>1069634</xdr:colOff>
      <xdr:row>54</xdr:row>
      <xdr:rowOff>1</xdr:rowOff>
    </xdr:to>
    <xdr:pic>
      <xdr:nvPicPr>
        <xdr:cNvPr id="30" name="図 29">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195811"/>
          <a:ext cx="4046220" cy="230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198120</xdr:colOff>
      <xdr:row>45</xdr:row>
      <xdr:rowOff>13335</xdr:rowOff>
    </xdr:from>
    <xdr:ext cx="1905330" cy="349776"/>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112645" y="12586335"/>
          <a:ext cx="1905330"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chemeClr val="tx1"/>
              </a:solidFill>
            </a:rPr>
            <a:t>（</a:t>
          </a:r>
          <a:r>
            <a:rPr kumimoji="1" lang="en-US" altLang="ja-JP" sz="1200" i="1">
              <a:solidFill>
                <a:schemeClr val="tx1"/>
              </a:solidFill>
            </a:rPr>
            <a:t>G</a:t>
          </a:r>
          <a:r>
            <a:rPr kumimoji="1" lang="en-US" altLang="ja-JP" sz="1200" baseline="-25000">
              <a:solidFill>
                <a:schemeClr val="tx1"/>
              </a:solidFill>
            </a:rPr>
            <a:t>r</a:t>
          </a:r>
          <a:r>
            <a:rPr kumimoji="1" lang="ja-JP" altLang="en-US" sz="1200">
              <a:solidFill>
                <a:schemeClr val="tx1"/>
              </a:solidFill>
            </a:rPr>
            <a:t>＋</a:t>
          </a:r>
          <a:r>
            <a:rPr kumimoji="1" lang="en-US" altLang="ja-JP" sz="1200" i="1">
              <a:solidFill>
                <a:schemeClr val="tx1"/>
              </a:solidFill>
            </a:rPr>
            <a:t>D</a:t>
          </a:r>
          <a:r>
            <a:rPr kumimoji="1" lang="en-US" altLang="ja-JP" sz="1200" baseline="-25000">
              <a:solidFill>
                <a:schemeClr val="tx1"/>
              </a:solidFill>
            </a:rPr>
            <a:t>1</a:t>
          </a:r>
          <a:r>
            <a:rPr kumimoji="1" lang="ja-JP" altLang="ja-JP" sz="1100">
              <a:solidFill>
                <a:schemeClr val="tx1"/>
              </a:solidFill>
              <a:effectLst/>
              <a:latin typeface="+mn-lt"/>
              <a:ea typeface="+mn-ea"/>
              <a:cs typeface="+mn-cs"/>
            </a:rPr>
            <a:t>＋</a:t>
          </a:r>
          <a:r>
            <a:rPr kumimoji="1" lang="en-US" altLang="ja-JP" sz="1100" i="1">
              <a:solidFill>
                <a:schemeClr val="tx1"/>
              </a:solidFill>
              <a:effectLst/>
              <a:latin typeface="+mn-lt"/>
              <a:ea typeface="+mn-ea"/>
              <a:cs typeface="+mn-cs"/>
            </a:rPr>
            <a:t>D</a:t>
          </a:r>
          <a:r>
            <a:rPr kumimoji="1" lang="en-US" altLang="ja-JP" sz="1100" baseline="-25000">
              <a:solidFill>
                <a:schemeClr val="tx1"/>
              </a:solidFill>
              <a:effectLst/>
              <a:latin typeface="+mn-lt"/>
              <a:ea typeface="+mn-ea"/>
              <a:cs typeface="+mn-cs"/>
            </a:rPr>
            <a:t>2</a:t>
          </a:r>
          <a:r>
            <a:rPr kumimoji="1" lang="ja-JP" altLang="en-US" sz="1200">
              <a:solidFill>
                <a:schemeClr val="tx1"/>
              </a:solidFill>
            </a:rPr>
            <a:t>＋</a:t>
          </a:r>
          <a:r>
            <a:rPr kumimoji="1" lang="en-US" altLang="ja-JP" sz="1200" i="1">
              <a:solidFill>
                <a:schemeClr val="tx1"/>
              </a:solidFill>
            </a:rPr>
            <a:t>M</a:t>
          </a:r>
          <a:r>
            <a:rPr kumimoji="1" lang="en-US" altLang="ja-JP" sz="1200" baseline="-25000">
              <a:solidFill>
                <a:schemeClr val="tx1"/>
              </a:solidFill>
            </a:rPr>
            <a:t>s</a:t>
          </a:r>
          <a:r>
            <a:rPr kumimoji="1" lang="ja-JP" altLang="en-US" sz="1200">
              <a:solidFill>
                <a:schemeClr val="tx1"/>
              </a:solidFill>
            </a:rPr>
            <a:t>）</a:t>
          </a:r>
          <a:r>
            <a:rPr kumimoji="1" lang="en-US" altLang="ja-JP" sz="1200">
              <a:solidFill>
                <a:schemeClr val="tx1"/>
              </a:solidFill>
            </a:rPr>
            <a:t>×</a:t>
          </a:r>
          <a:r>
            <a:rPr kumimoji="1" lang="en-US" altLang="ja-JP" sz="1200" i="1">
              <a:solidFill>
                <a:schemeClr val="tx1"/>
              </a:solidFill>
            </a:rPr>
            <a:t>A</a:t>
          </a:r>
          <a:r>
            <a:rPr kumimoji="1" lang="en-US" altLang="ja-JP" sz="1200" baseline="-25000">
              <a:solidFill>
                <a:schemeClr val="tx1"/>
              </a:solidFill>
            </a:rPr>
            <a:t>f2</a:t>
          </a:r>
          <a:endParaRPr kumimoji="1" lang="ja-JP" altLang="en-US" sz="1200" baseline="-25000">
            <a:solidFill>
              <a:schemeClr val="tx1"/>
            </a:solidFill>
          </a:endParaRPr>
        </a:p>
      </xdr:txBody>
    </xdr:sp>
    <xdr:clientData/>
  </xdr:oneCellAnchor>
  <xdr:oneCellAnchor>
    <xdr:from>
      <xdr:col>4</xdr:col>
      <xdr:colOff>325755</xdr:colOff>
      <xdr:row>46</xdr:row>
      <xdr:rowOff>215265</xdr:rowOff>
    </xdr:from>
    <xdr:ext cx="2282548" cy="349776"/>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2240280" y="13083540"/>
          <a:ext cx="2282548"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ow2</a:t>
          </a:r>
          <a:r>
            <a:rPr kumimoji="1" lang="ja-JP" altLang="en-US" sz="1200"/>
            <a:t>＋</a:t>
          </a:r>
          <a:r>
            <a:rPr kumimoji="1" lang="en-US" altLang="ja-JP" sz="1200" i="1"/>
            <a:t>G</a:t>
          </a:r>
          <a:r>
            <a:rPr kumimoji="1" lang="en-US" altLang="ja-JP" sz="1200" baseline="-25000"/>
            <a:t>iw2</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f2</a:t>
          </a:r>
          <a:endParaRPr kumimoji="1" lang="ja-JP" altLang="en-US" sz="1200" baseline="-25000"/>
        </a:p>
      </xdr:txBody>
    </xdr:sp>
    <xdr:clientData/>
  </xdr:oneCellAnchor>
  <xdr:twoCellAnchor editAs="oneCell">
    <xdr:from>
      <xdr:col>2</xdr:col>
      <xdr:colOff>108585</xdr:colOff>
      <xdr:row>57</xdr:row>
      <xdr:rowOff>106680</xdr:rowOff>
    </xdr:from>
    <xdr:to>
      <xdr:col>6</xdr:col>
      <xdr:colOff>563509</xdr:colOff>
      <xdr:row>64</xdr:row>
      <xdr:rowOff>207645</xdr:rowOff>
    </xdr:to>
    <xdr:pic>
      <xdr:nvPicPr>
        <xdr:cNvPr id="34" name="図 33">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7235" y="12460605"/>
          <a:ext cx="4059555" cy="1845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868680</xdr:colOff>
      <xdr:row>58</xdr:row>
      <xdr:rowOff>22860</xdr:rowOff>
    </xdr:from>
    <xdr:ext cx="1930144" cy="349776"/>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783205" y="15834360"/>
          <a:ext cx="193014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chemeClr val="tx1"/>
              </a:solidFill>
            </a:rPr>
            <a:t>（</a:t>
          </a:r>
          <a:r>
            <a:rPr kumimoji="1" lang="en-US" altLang="ja-JP" sz="1200" i="1">
              <a:solidFill>
                <a:schemeClr val="tx1"/>
              </a:solidFill>
            </a:rPr>
            <a:t>G</a:t>
          </a:r>
          <a:r>
            <a:rPr kumimoji="1" lang="en-US" altLang="ja-JP" sz="1200" baseline="-25000">
              <a:solidFill>
                <a:schemeClr val="tx1"/>
              </a:solidFill>
            </a:rPr>
            <a:t>r</a:t>
          </a:r>
          <a:r>
            <a:rPr kumimoji="1" lang="ja-JP" altLang="en-US" sz="1200">
              <a:solidFill>
                <a:schemeClr val="tx1"/>
              </a:solidFill>
            </a:rPr>
            <a:t>＋</a:t>
          </a:r>
          <a:r>
            <a:rPr kumimoji="1" lang="en-US" altLang="ja-JP" sz="1200" i="1">
              <a:solidFill>
                <a:schemeClr val="tx1"/>
              </a:solidFill>
            </a:rPr>
            <a:t>D</a:t>
          </a:r>
          <a:r>
            <a:rPr kumimoji="1" lang="en-US" altLang="ja-JP" sz="1200" baseline="-25000">
              <a:solidFill>
                <a:schemeClr val="tx1"/>
              </a:solidFill>
            </a:rPr>
            <a:t>1</a:t>
          </a:r>
          <a:r>
            <a:rPr kumimoji="1" lang="ja-JP" altLang="en-US" sz="1200">
              <a:solidFill>
                <a:schemeClr val="tx1"/>
              </a:solidFill>
            </a:rPr>
            <a:t>＋</a:t>
          </a:r>
          <a:r>
            <a:rPr kumimoji="1" lang="en-US" altLang="ja-JP" sz="1200" i="1">
              <a:solidFill>
                <a:schemeClr val="tx1"/>
              </a:solidFill>
            </a:rPr>
            <a:t>D</a:t>
          </a:r>
          <a:r>
            <a:rPr kumimoji="1" lang="en-US" altLang="ja-JP" sz="1200" baseline="-25000">
              <a:solidFill>
                <a:schemeClr val="tx1"/>
              </a:solidFill>
            </a:rPr>
            <a:t>2</a:t>
          </a:r>
          <a:r>
            <a:rPr kumimoji="1" lang="ja-JP" altLang="en-US" sz="1200" baseline="0">
              <a:solidFill>
                <a:schemeClr val="tx1"/>
              </a:solidFill>
            </a:rPr>
            <a:t>＋</a:t>
          </a:r>
          <a:r>
            <a:rPr kumimoji="1" lang="en-US" altLang="ja-JP" sz="1200" i="1" baseline="0">
              <a:solidFill>
                <a:schemeClr val="tx1"/>
              </a:solidFill>
            </a:rPr>
            <a:t>M</a:t>
          </a:r>
          <a:r>
            <a:rPr kumimoji="1" lang="en-US" altLang="ja-JP" sz="1200" i="1" baseline="-25000">
              <a:solidFill>
                <a:schemeClr val="tx1"/>
              </a:solidFill>
            </a:rPr>
            <a:t>s</a:t>
          </a:r>
          <a:r>
            <a:rPr kumimoji="1" lang="ja-JP" altLang="en-US" sz="1200">
              <a:solidFill>
                <a:schemeClr val="tx1"/>
              </a:solidFill>
            </a:rPr>
            <a:t>）</a:t>
          </a:r>
          <a:r>
            <a:rPr kumimoji="1" lang="en-US" altLang="ja-JP" sz="1200">
              <a:solidFill>
                <a:schemeClr val="tx1"/>
              </a:solidFill>
            </a:rPr>
            <a:t>×</a:t>
          </a:r>
          <a:r>
            <a:rPr kumimoji="1" lang="en-US" altLang="ja-JP" sz="1200" i="1">
              <a:solidFill>
                <a:schemeClr val="tx1"/>
              </a:solidFill>
            </a:rPr>
            <a:t>A</a:t>
          </a:r>
          <a:r>
            <a:rPr kumimoji="1" lang="en-US" altLang="ja-JP" sz="1200" baseline="-25000">
              <a:solidFill>
                <a:schemeClr val="tx1"/>
              </a:solidFill>
            </a:rPr>
            <a:t>f1</a:t>
          </a:r>
          <a:endParaRPr kumimoji="1" lang="ja-JP" altLang="en-US" sz="1200" baseline="-25000">
            <a:solidFill>
              <a:schemeClr val="tx1"/>
            </a:solidFill>
          </a:endParaRPr>
        </a:p>
      </xdr:txBody>
    </xdr:sp>
    <xdr:clientData/>
  </xdr:oneCellAnchor>
  <xdr:oneCellAnchor>
    <xdr:from>
      <xdr:col>4</xdr:col>
      <xdr:colOff>1089660</xdr:colOff>
      <xdr:row>60</xdr:row>
      <xdr:rowOff>24765</xdr:rowOff>
    </xdr:from>
    <xdr:ext cx="2282548" cy="349776"/>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3004185" y="16331565"/>
          <a:ext cx="2282548"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ow1</a:t>
          </a:r>
          <a:r>
            <a:rPr kumimoji="1" lang="ja-JP" altLang="en-US" sz="1200"/>
            <a:t>＋</a:t>
          </a:r>
          <a:r>
            <a:rPr kumimoji="1" lang="en-US" altLang="ja-JP" sz="1200" i="1"/>
            <a:t>G</a:t>
          </a:r>
          <a:r>
            <a:rPr kumimoji="1" lang="en-US" altLang="ja-JP" sz="1200" baseline="-25000"/>
            <a:t>iw1</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f1</a:t>
          </a:r>
          <a:endParaRPr kumimoji="1" lang="ja-JP" altLang="en-US" sz="1200" baseline="-25000"/>
        </a:p>
      </xdr:txBody>
    </xdr:sp>
    <xdr:clientData/>
  </xdr:oneCellAnchor>
  <xdr:oneCellAnchor>
    <xdr:from>
      <xdr:col>5</xdr:col>
      <xdr:colOff>783140</xdr:colOff>
      <xdr:row>105</xdr:row>
      <xdr:rowOff>668610</xdr:rowOff>
    </xdr:from>
    <xdr:ext cx="4236720" cy="219075"/>
    <mc:AlternateContent xmlns:mc="http://schemas.openxmlformats.org/markup-compatibility/2006" xmlns:a14="http://schemas.microsoft.com/office/drawing/2010/main">
      <mc:Choice Requires="a14">
        <xdr:sp macro="" textlink="">
          <xdr:nvSpPr>
            <xdr:cNvPr id="25" name="テキスト ボックス 24">
              <a:extLst>
                <a:ext uri="{FF2B5EF4-FFF2-40B4-BE49-F238E27FC236}">
                  <a16:creationId xmlns:a16="http://schemas.microsoft.com/office/drawing/2014/main" id="{657AE63F-8757-407F-A1C6-38E3A7387D25}"/>
                </a:ext>
              </a:extLst>
            </xdr:cNvPr>
            <xdr:cNvSpPr txBox="1"/>
          </xdr:nvSpPr>
          <xdr:spPr>
            <a:xfrm>
              <a:off x="3814878" y="31543549"/>
              <a:ext cx="423672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altLang="ja-JP" sz="1100" b="0" i="1">
                        <a:solidFill>
                          <a:schemeClr val="tx1"/>
                        </a:solidFill>
                        <a:latin typeface="Cambria Math" panose="02040503050406030204" pitchFamily="18" charset="0"/>
                        <a:ea typeface="Cambria Math" panose="02040503050406030204" pitchFamily="18" charset="0"/>
                      </a:rPr>
                      <m:t>𝑑</m:t>
                    </m:r>
                    <m:r>
                      <a:rPr kumimoji="1" lang="en-US" altLang="ja-JP" sz="1100" b="0" i="1">
                        <a:solidFill>
                          <a:schemeClr val="tx1"/>
                        </a:solidFill>
                        <a:latin typeface="Cambria Math" panose="02040503050406030204" pitchFamily="18" charset="0"/>
                        <a:ea typeface="Cambria Math" panose="02040503050406030204" pitchFamily="18" charset="0"/>
                      </a:rPr>
                      <m:t>=</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0</m:t>
                        </m:r>
                      </m:sub>
                    </m:sSub>
                  </m:oMath>
                </m:oMathPara>
              </a14:m>
              <a:endParaRPr kumimoji="1" lang="en-US" altLang="ja-JP" sz="1100" b="0">
                <a:solidFill>
                  <a:schemeClr val="tx1"/>
                </a:solidFill>
                <a:effectLst/>
                <a:ea typeface="+mn-ea"/>
                <a:cs typeface="+mn-cs"/>
              </a:endParaRPr>
            </a:p>
            <a:p>
              <a:pPr algn="l"/>
              <a:r>
                <a:rPr kumimoji="1" lang="en-US" altLang="ja-JP" sz="1100">
                  <a:solidFill>
                    <a:schemeClr val="tx1"/>
                  </a:solidFill>
                </a:rPr>
                <a:t> </a:t>
              </a:r>
              <a:endParaRPr kumimoji="1" lang="ja-JP" altLang="en-US" sz="1100">
                <a:solidFill>
                  <a:schemeClr val="tx1"/>
                </a:solidFill>
              </a:endParaRPr>
            </a:p>
          </xdr:txBody>
        </xdr:sp>
      </mc:Choice>
      <mc:Fallback xmlns="">
        <xdr:sp macro="" textlink="">
          <xdr:nvSpPr>
            <xdr:cNvPr id="25" name="テキスト ボックス 24">
              <a:extLst>
                <a:ext uri="{FF2B5EF4-FFF2-40B4-BE49-F238E27FC236}">
                  <a16:creationId xmlns:a16="http://schemas.microsoft.com/office/drawing/2014/main" id="{657AE63F-8757-407F-A1C6-38E3A7387D25}"/>
                </a:ext>
              </a:extLst>
            </xdr:cNvPr>
            <xdr:cNvSpPr txBox="1"/>
          </xdr:nvSpPr>
          <xdr:spPr>
            <a:xfrm>
              <a:off x="3814878" y="31543549"/>
              <a:ext cx="423672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kumimoji="1" lang="en-US" altLang="ja-JP" sz="1100" b="0" i="0">
                  <a:solidFill>
                    <a:schemeClr val="tx1"/>
                  </a:solidFill>
                  <a:latin typeface="Cambria Math" panose="02040503050406030204" pitchFamily="18" charset="0"/>
                  <a:ea typeface="Cambria Math" panose="02040503050406030204" pitchFamily="18" charset="0"/>
                </a:rPr>
                <a:t>𝑑=</a:t>
              </a:r>
              <a:r>
                <a:rPr kumimoji="1" lang="en-US" altLang="ja-JP" sz="1100" b="0" i="0">
                  <a:solidFill>
                    <a:schemeClr val="tx1"/>
                  </a:solidFill>
                  <a:effectLst/>
                  <a:latin typeface="Cambria Math" panose="02040503050406030204" pitchFamily="18" charset="0"/>
                  <a:ea typeface="+mn-ea"/>
                  <a:cs typeface="+mn-cs"/>
                </a:rPr>
                <a:t>𝑑_0</a:t>
              </a:r>
              <a:endParaRPr kumimoji="1" lang="en-US" altLang="ja-JP" sz="1100" b="0">
                <a:solidFill>
                  <a:schemeClr val="tx1"/>
                </a:solidFill>
                <a:effectLst/>
                <a:ea typeface="+mn-ea"/>
                <a:cs typeface="+mn-cs"/>
              </a:endParaRPr>
            </a:p>
            <a:p>
              <a:pPr algn="l"/>
              <a:r>
                <a:rPr kumimoji="1" lang="en-US" altLang="ja-JP" sz="1100">
                  <a:solidFill>
                    <a:schemeClr val="tx1"/>
                  </a:solidFill>
                </a:rPr>
                <a:t> </a:t>
              </a:r>
              <a:endParaRPr kumimoji="1" lang="ja-JP" altLang="en-US" sz="1100">
                <a:solidFill>
                  <a:schemeClr val="tx1"/>
                </a:solidFill>
              </a:endParaRPr>
            </a:p>
          </xdr:txBody>
        </xdr:sp>
      </mc:Fallback>
    </mc:AlternateContent>
    <xdr:clientData/>
  </xdr:oneCellAnchor>
  <xdr:oneCellAnchor>
    <xdr:from>
      <xdr:col>5</xdr:col>
      <xdr:colOff>682780</xdr:colOff>
      <xdr:row>105</xdr:row>
      <xdr:rowOff>1715661</xdr:rowOff>
    </xdr:from>
    <xdr:ext cx="4236720" cy="378502"/>
    <mc:AlternateContent xmlns:mc="http://schemas.openxmlformats.org/markup-compatibility/2006" xmlns:a14="http://schemas.microsoft.com/office/drawing/2010/main">
      <mc:Choice Requires="a14">
        <xdr:sp macro="" textlink="">
          <xdr:nvSpPr>
            <xdr:cNvPr id="27" name="テキスト ボックス 26">
              <a:extLst>
                <a:ext uri="{FF2B5EF4-FFF2-40B4-BE49-F238E27FC236}">
                  <a16:creationId xmlns:a16="http://schemas.microsoft.com/office/drawing/2014/main" id="{28278983-B8A5-4DE9-89D2-5B7E12C9F488}"/>
                </a:ext>
              </a:extLst>
            </xdr:cNvPr>
            <xdr:cNvSpPr txBox="1"/>
          </xdr:nvSpPr>
          <xdr:spPr>
            <a:xfrm>
              <a:off x="3714518" y="32590600"/>
              <a:ext cx="4236720" cy="378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altLang="ja-JP" sz="1100" b="0" i="1">
                        <a:solidFill>
                          <a:schemeClr val="tx1"/>
                        </a:solidFill>
                        <a:latin typeface="Cambria Math" panose="02040503050406030204" pitchFamily="18" charset="0"/>
                        <a:ea typeface="Cambria Math" panose="02040503050406030204" pitchFamily="18" charset="0"/>
                      </a:rPr>
                      <m:t>𝜇</m:t>
                    </m:r>
                    <m:r>
                      <m:rPr>
                        <m:sty m:val="p"/>
                      </m:rPr>
                      <a:rPr kumimoji="1" lang="en-US" altLang="ja-JP" sz="1100" b="0" i="0">
                        <a:solidFill>
                          <a:schemeClr val="tx1"/>
                        </a:solidFill>
                        <a:latin typeface="Cambria Math" panose="02040503050406030204" pitchFamily="18" charset="0"/>
                        <a:ea typeface="Cambria Math" panose="02040503050406030204" pitchFamily="18" charset="0"/>
                      </a:rPr>
                      <m:t>b</m:t>
                    </m:r>
                    <m:r>
                      <a:rPr kumimoji="1" lang="en-US" altLang="ja-JP" sz="1100" b="0" i="1">
                        <a:solidFill>
                          <a:schemeClr val="tx1"/>
                        </a:solidFill>
                        <a:latin typeface="Cambria Math" panose="02040503050406030204" pitchFamily="18" charset="0"/>
                        <a:ea typeface="Cambria Math" panose="02040503050406030204" pitchFamily="18" charset="0"/>
                      </a:rPr>
                      <m:t>=</m:t>
                    </m:r>
                    <m:rad>
                      <m:radPr>
                        <m:degHide m:val="on"/>
                        <m:ctrlPr>
                          <a:rPr kumimoji="1" lang="en-US" altLang="ja-JP" sz="1100" b="0" i="1">
                            <a:solidFill>
                              <a:schemeClr val="tx1"/>
                            </a:solidFill>
                            <a:latin typeface="Cambria Math" panose="02040503050406030204" pitchFamily="18" charset="0"/>
                            <a:ea typeface="Cambria Math" panose="02040503050406030204" pitchFamily="18" charset="0"/>
                          </a:rPr>
                        </m:ctrlPr>
                      </m:radPr>
                      <m:deg/>
                      <m:e>
                        <m:func>
                          <m:funcPr>
                            <m:ctrlPr>
                              <a:rPr kumimoji="1" lang="en-US" altLang="ja-JP" sz="1100" b="0" i="1">
                                <a:solidFill>
                                  <a:schemeClr val="tx1"/>
                                </a:solidFill>
                                <a:latin typeface="Cambria Math" panose="02040503050406030204" pitchFamily="18" charset="0"/>
                                <a:ea typeface="Cambria Math" panose="02040503050406030204" pitchFamily="18" charset="0"/>
                              </a:rPr>
                            </m:ctrlPr>
                          </m:funcPr>
                          <m:fName>
                            <m:r>
                              <m:rPr>
                                <m:sty m:val="p"/>
                              </m:rPr>
                              <a:rPr kumimoji="1" lang="en-US" altLang="ja-JP" sz="1100" b="0" i="0">
                                <a:solidFill>
                                  <a:schemeClr val="tx1"/>
                                </a:solidFill>
                                <a:latin typeface="Cambria Math" panose="02040503050406030204" pitchFamily="18" charset="0"/>
                                <a:ea typeface="Cambria Math" panose="02040503050406030204" pitchFamily="18" charset="0"/>
                              </a:rPr>
                              <m:t>cos</m:t>
                            </m:r>
                          </m:fName>
                          <m:e>
                            <m:d>
                              <m:dPr>
                                <m:ctrlPr>
                                  <a:rPr kumimoji="1" lang="en-US" altLang="ja-JP" sz="1100" b="0" i="1">
                                    <a:solidFill>
                                      <a:schemeClr val="tx1"/>
                                    </a:solidFill>
                                    <a:latin typeface="Cambria Math" panose="02040503050406030204" pitchFamily="18" charset="0"/>
                                    <a:ea typeface="Cambria Math" panose="02040503050406030204" pitchFamily="18" charset="0"/>
                                  </a:rPr>
                                </m:ctrlPr>
                              </m:dPr>
                              <m:e>
                                <m:r>
                                  <a:rPr kumimoji="1" lang="en-US" altLang="ja-JP" sz="1100" b="0" i="1">
                                    <a:solidFill>
                                      <a:schemeClr val="tx1"/>
                                    </a:solidFill>
                                    <a:latin typeface="Cambria Math" panose="02040503050406030204" pitchFamily="18" charset="0"/>
                                    <a:ea typeface="Cambria Math" panose="02040503050406030204" pitchFamily="18" charset="0"/>
                                  </a:rPr>
                                  <m:t>1.5</m:t>
                                </m:r>
                                <m:r>
                                  <a:rPr kumimoji="1" lang="en-US" altLang="ja-JP" sz="1100" b="0" i="1">
                                    <a:solidFill>
                                      <a:schemeClr val="tx1"/>
                                    </a:solidFill>
                                    <a:latin typeface="Cambria Math" panose="02040503050406030204" pitchFamily="18" charset="0"/>
                                    <a:ea typeface="Cambria Math" panose="02040503050406030204" pitchFamily="18" charset="0"/>
                                  </a:rPr>
                                  <m:t>𝛽</m:t>
                                </m:r>
                              </m:e>
                            </m:d>
                          </m:e>
                        </m:func>
                      </m:e>
                    </m:rad>
                  </m:oMath>
                </m:oMathPara>
              </a14:m>
              <a:endParaRPr kumimoji="1" lang="en-US" altLang="ja-JP" sz="1100" b="0">
                <a:solidFill>
                  <a:schemeClr val="tx1"/>
                </a:solidFill>
                <a:effectLst/>
                <a:ea typeface="+mn-ea"/>
                <a:cs typeface="+mn-cs"/>
              </a:endParaRPr>
            </a:p>
            <a:p>
              <a:pPr algn="l"/>
              <a:r>
                <a:rPr kumimoji="1" lang="en-US" altLang="ja-JP" sz="1100">
                  <a:solidFill>
                    <a:schemeClr val="tx1"/>
                  </a:solidFill>
                </a:rPr>
                <a:t> </a:t>
              </a:r>
              <a:endParaRPr kumimoji="1" lang="ja-JP" altLang="en-US" sz="1100">
                <a:solidFill>
                  <a:schemeClr val="tx1"/>
                </a:solidFill>
              </a:endParaRPr>
            </a:p>
          </xdr:txBody>
        </xdr:sp>
      </mc:Choice>
      <mc:Fallback xmlns="">
        <xdr:sp macro="" textlink="">
          <xdr:nvSpPr>
            <xdr:cNvPr id="27" name="テキスト ボックス 26">
              <a:extLst>
                <a:ext uri="{FF2B5EF4-FFF2-40B4-BE49-F238E27FC236}">
                  <a16:creationId xmlns:a16="http://schemas.microsoft.com/office/drawing/2014/main" id="{28278983-B8A5-4DE9-89D2-5B7E12C9F488}"/>
                </a:ext>
              </a:extLst>
            </xdr:cNvPr>
            <xdr:cNvSpPr txBox="1"/>
          </xdr:nvSpPr>
          <xdr:spPr>
            <a:xfrm>
              <a:off x="3714518" y="32590600"/>
              <a:ext cx="4236720" cy="378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solidFill>
                    <a:schemeClr val="tx1"/>
                  </a:solidFill>
                  <a:latin typeface="Cambria Math" panose="02040503050406030204" pitchFamily="18" charset="0"/>
                  <a:ea typeface="Cambria Math" panose="02040503050406030204" pitchFamily="18" charset="0"/>
                </a:rPr>
                <a:t>𝜇b=√(cos⁡(1.5𝛽) )</a:t>
              </a:r>
              <a:endParaRPr kumimoji="1" lang="en-US" altLang="ja-JP" sz="1100" b="0">
                <a:solidFill>
                  <a:schemeClr val="tx1"/>
                </a:solidFill>
                <a:effectLst/>
                <a:ea typeface="+mn-ea"/>
                <a:cs typeface="+mn-cs"/>
              </a:endParaRPr>
            </a:p>
            <a:p>
              <a:pPr algn="l"/>
              <a:r>
                <a:rPr kumimoji="1" lang="en-US" altLang="ja-JP" sz="1100">
                  <a:solidFill>
                    <a:schemeClr val="tx1"/>
                  </a:solidFill>
                </a:rPr>
                <a:t> </a:t>
              </a:r>
              <a:endParaRPr kumimoji="1" lang="ja-JP" altLang="en-US" sz="1100">
                <a:solidFill>
                  <a:schemeClr val="tx1"/>
                </a:solidFill>
              </a:endParaRPr>
            </a:p>
          </xdr:txBody>
        </xdr:sp>
      </mc:Fallback>
    </mc:AlternateContent>
    <xdr:clientData/>
  </xdr:oneCellAnchor>
  <xdr:oneCellAnchor>
    <xdr:from>
      <xdr:col>5</xdr:col>
      <xdr:colOff>645607</xdr:colOff>
      <xdr:row>105</xdr:row>
      <xdr:rowOff>2048803</xdr:rowOff>
    </xdr:from>
    <xdr:ext cx="4236720" cy="501804"/>
    <mc:AlternateContent xmlns:mc="http://schemas.openxmlformats.org/markup-compatibility/2006" xmlns:a14="http://schemas.microsoft.com/office/drawing/2010/main">
      <mc:Choice Requires="a14">
        <xdr:sp macro="" textlink="">
          <xdr:nvSpPr>
            <xdr:cNvPr id="28" name="テキスト ボックス 27">
              <a:extLst>
                <a:ext uri="{FF2B5EF4-FFF2-40B4-BE49-F238E27FC236}">
                  <a16:creationId xmlns:a16="http://schemas.microsoft.com/office/drawing/2014/main" id="{470C5709-5663-47F7-866B-07496072EB5D}"/>
                </a:ext>
              </a:extLst>
            </xdr:cNvPr>
            <xdr:cNvSpPr txBox="1"/>
          </xdr:nvSpPr>
          <xdr:spPr>
            <a:xfrm>
              <a:off x="3677345" y="32923742"/>
              <a:ext cx="4236720" cy="501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altLang="ja-JP" sz="1100" b="0" i="1">
                        <a:solidFill>
                          <a:schemeClr val="tx1"/>
                        </a:solidFill>
                        <a:latin typeface="Cambria Math" panose="02040503050406030204" pitchFamily="18" charset="0"/>
                        <a:ea typeface="Cambria Math" panose="02040503050406030204" pitchFamily="18" charset="0"/>
                      </a:rPr>
                      <m:t>𝑑</m:t>
                    </m:r>
                    <m:r>
                      <a:rPr kumimoji="1" lang="en-US" altLang="ja-JP" sz="1100" b="0" i="1">
                        <a:solidFill>
                          <a:schemeClr val="tx1"/>
                        </a:solidFill>
                        <a:latin typeface="Cambria Math" panose="02040503050406030204" pitchFamily="18" charset="0"/>
                        <a:ea typeface="Cambria Math" panose="02040503050406030204" pitchFamily="18" charset="0"/>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𝜇</m:t>
                        </m:r>
                        <m:r>
                          <a:rPr kumimoji="1" lang="en-US" altLang="ja-JP" sz="1100" b="0" i="1">
                            <a:solidFill>
                              <a:schemeClr val="tx1"/>
                            </a:solidFill>
                            <a:effectLst/>
                            <a:latin typeface="Cambria Math" panose="02040503050406030204" pitchFamily="18" charset="0"/>
                            <a:ea typeface="+mn-ea"/>
                            <a:cs typeface="+mn-cs"/>
                          </a:rPr>
                          <m:t>𝑏</m:t>
                        </m:r>
                        <m:r>
                          <a:rPr kumimoji="1" lang="ja-JP" altLang="en-US" sz="1100" b="0" i="1">
                            <a:solidFill>
                              <a:schemeClr val="tx1"/>
                            </a:solidFill>
                            <a:effectLst/>
                            <a:latin typeface="Cambria Math" panose="02040503050406030204" pitchFamily="18" charset="0"/>
                            <a:ea typeface="+mn-ea"/>
                            <a:cs typeface="+mn-cs"/>
                          </a:rPr>
                          <m:t>･</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0</m:t>
                            </m:r>
                          </m:sub>
                        </m:sSub>
                      </m:num>
                      <m:den>
                        <m:r>
                          <a:rPr kumimoji="1" lang="en-US" altLang="ja-JP" sz="1100" b="0" i="1">
                            <a:solidFill>
                              <a:schemeClr val="tx1"/>
                            </a:solidFill>
                            <a:effectLst/>
                            <a:latin typeface="Cambria Math" panose="02040503050406030204" pitchFamily="18" charset="0"/>
                            <a:ea typeface="+mn-ea"/>
                            <a:cs typeface="+mn-cs"/>
                          </a:rPr>
                          <m:t>0.93</m:t>
                        </m:r>
                      </m:den>
                    </m:f>
                  </m:oMath>
                </m:oMathPara>
              </a14:m>
              <a:endParaRPr kumimoji="1" lang="en-US" altLang="ja-JP" sz="1100" b="0">
                <a:solidFill>
                  <a:schemeClr val="tx1"/>
                </a:solidFill>
                <a:effectLst/>
                <a:ea typeface="+mn-ea"/>
                <a:cs typeface="+mn-cs"/>
              </a:endParaRPr>
            </a:p>
            <a:p>
              <a:pPr algn="l"/>
              <a:r>
                <a:rPr kumimoji="1" lang="en-US" altLang="ja-JP" sz="1100">
                  <a:solidFill>
                    <a:schemeClr val="tx1"/>
                  </a:solidFill>
                </a:rPr>
                <a:t> </a:t>
              </a:r>
              <a:endParaRPr kumimoji="1" lang="ja-JP" altLang="en-US" sz="1100">
                <a:solidFill>
                  <a:schemeClr val="tx1"/>
                </a:solidFill>
              </a:endParaRPr>
            </a:p>
          </xdr:txBody>
        </xdr:sp>
      </mc:Choice>
      <mc:Fallback xmlns="">
        <xdr:sp macro="" textlink="">
          <xdr:nvSpPr>
            <xdr:cNvPr id="28" name="テキスト ボックス 27">
              <a:extLst>
                <a:ext uri="{FF2B5EF4-FFF2-40B4-BE49-F238E27FC236}">
                  <a16:creationId xmlns:a16="http://schemas.microsoft.com/office/drawing/2014/main" id="{470C5709-5663-47F7-866B-07496072EB5D}"/>
                </a:ext>
              </a:extLst>
            </xdr:cNvPr>
            <xdr:cNvSpPr txBox="1"/>
          </xdr:nvSpPr>
          <xdr:spPr>
            <a:xfrm>
              <a:off x="3677345" y="32923742"/>
              <a:ext cx="4236720" cy="501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solidFill>
                    <a:schemeClr val="tx1"/>
                  </a:solidFill>
                  <a:latin typeface="Cambria Math" panose="02040503050406030204" pitchFamily="18" charset="0"/>
                  <a:ea typeface="Cambria Math" panose="02040503050406030204" pitchFamily="18" charset="0"/>
                </a:rPr>
                <a:t>𝑑=</a:t>
              </a:r>
              <a:r>
                <a:rPr kumimoji="1" lang="en-US" altLang="ja-JP" sz="1100" b="0" i="0">
                  <a:solidFill>
                    <a:schemeClr val="tx1"/>
                  </a:solidFill>
                  <a:effectLst/>
                  <a:latin typeface="Cambria Math" panose="02040503050406030204" pitchFamily="18" charset="0"/>
                  <a:ea typeface="+mn-ea"/>
                  <a:cs typeface="+mn-cs"/>
                </a:rPr>
                <a:t>(𝜇𝑏</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𝑑_0)/0.93</a:t>
              </a:r>
              <a:endParaRPr kumimoji="1" lang="en-US" altLang="ja-JP" sz="1100" b="0">
                <a:solidFill>
                  <a:schemeClr val="tx1"/>
                </a:solidFill>
                <a:effectLst/>
                <a:ea typeface="+mn-ea"/>
                <a:cs typeface="+mn-cs"/>
              </a:endParaRPr>
            </a:p>
            <a:p>
              <a:pPr algn="l"/>
              <a:r>
                <a:rPr kumimoji="1" lang="en-US" altLang="ja-JP" sz="1100">
                  <a:solidFill>
                    <a:schemeClr val="tx1"/>
                  </a:solidFill>
                </a:rPr>
                <a:t> </a:t>
              </a:r>
              <a:endParaRPr kumimoji="1" lang="ja-JP" altLang="en-US" sz="1100">
                <a:solidFill>
                  <a:schemeClr val="tx1"/>
                </a:solidFill>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2E23-FD24-47F1-9EDA-50CE65746E5F}">
  <dimension ref="A1:AQ109"/>
  <sheetViews>
    <sheetView tabSelected="1" view="pageBreakPreview" zoomScale="92" zoomScaleNormal="92" zoomScaleSheetLayoutView="92" workbookViewId="0">
      <selection activeCell="C44" sqref="C44:E47"/>
    </sheetView>
  </sheetViews>
  <sheetFormatPr defaultRowHeight="18.75"/>
  <cols>
    <col min="1" max="1" width="3.625" customWidth="1"/>
    <col min="2" max="2" width="6.125" style="7" customWidth="1"/>
    <col min="3" max="3" width="4.25" customWidth="1"/>
    <col min="4" max="7" width="5.125" customWidth="1"/>
    <col min="8" max="9" width="5.125" style="4" customWidth="1"/>
    <col min="10" max="13" width="5.125" customWidth="1"/>
    <col min="14" max="14" width="2.875" customWidth="1"/>
    <col min="15" max="15" width="5.125" customWidth="1"/>
    <col min="16" max="16" width="3.875" customWidth="1"/>
    <col min="17" max="17" width="5.125" customWidth="1"/>
    <col min="18" max="18" width="3.875" customWidth="1"/>
    <col min="19" max="22" width="5.125" style="5" customWidth="1"/>
    <col min="23" max="32" width="11.875" style="7" hidden="1" customWidth="1"/>
    <col min="33" max="33" width="11.875" hidden="1" customWidth="1"/>
    <col min="34" max="34" width="11.875" customWidth="1"/>
    <col min="35" max="38" width="11.25" customWidth="1"/>
  </cols>
  <sheetData>
    <row r="1" spans="1:35" ht="17.100000000000001" customHeight="1">
      <c r="A1" s="395" t="s">
        <v>613</v>
      </c>
      <c r="B1" s="395"/>
      <c r="C1" s="395"/>
      <c r="D1" s="395"/>
      <c r="E1" s="395"/>
      <c r="F1" s="395"/>
      <c r="G1" s="395"/>
      <c r="H1" s="395"/>
      <c r="I1" s="395"/>
      <c r="J1" s="395"/>
      <c r="K1" s="395"/>
      <c r="L1" s="395"/>
      <c r="M1" s="395"/>
      <c r="N1" s="395"/>
      <c r="O1" s="395"/>
      <c r="P1" s="395"/>
      <c r="Q1" s="395"/>
      <c r="R1" s="395"/>
      <c r="S1" s="395"/>
      <c r="T1" s="395"/>
      <c r="U1" s="395"/>
      <c r="V1" s="395"/>
      <c r="W1" s="126"/>
      <c r="X1" s="288"/>
      <c r="Y1" s="136"/>
      <c r="Z1" s="396" t="s">
        <v>548</v>
      </c>
      <c r="AA1" s="397"/>
      <c r="AB1" s="125"/>
      <c r="AC1" s="126"/>
      <c r="AD1" s="126"/>
      <c r="AE1" s="126"/>
      <c r="AF1" s="126"/>
      <c r="AG1" s="124"/>
    </row>
    <row r="2" spans="1:35" ht="17.100000000000001" customHeight="1">
      <c r="A2" s="395"/>
      <c r="B2" s="395"/>
      <c r="C2" s="395"/>
      <c r="D2" s="395"/>
      <c r="E2" s="395"/>
      <c r="F2" s="395"/>
      <c r="G2" s="395"/>
      <c r="H2" s="395"/>
      <c r="I2" s="395"/>
      <c r="J2" s="395"/>
      <c r="K2" s="395"/>
      <c r="L2" s="395"/>
      <c r="M2" s="395"/>
      <c r="N2" s="395"/>
      <c r="O2" s="395"/>
      <c r="P2" s="395"/>
      <c r="Q2" s="395"/>
      <c r="R2" s="395"/>
      <c r="S2" s="395"/>
      <c r="T2" s="395"/>
      <c r="U2" s="395"/>
      <c r="V2" s="395"/>
      <c r="W2" s="126"/>
      <c r="X2" s="398" t="s">
        <v>458</v>
      </c>
      <c r="Y2" s="399"/>
      <c r="Z2" s="400">
        <f>(16.5+H25*2)*(6+H25*2)*SQRT(H26^2+10^2)/(16.5*6)/10</f>
        <v>1.3326923007555087</v>
      </c>
      <c r="AA2" s="401"/>
      <c r="AB2" s="125">
        <f>SQRT(H26^2+10^2)/10</f>
        <v>1.0770329614269007</v>
      </c>
      <c r="AC2" s="126"/>
      <c r="AD2" s="126"/>
      <c r="AE2" s="126"/>
      <c r="AF2" s="126"/>
      <c r="AG2" s="124"/>
    </row>
    <row r="3" spans="1:35" ht="17.100000000000001" customHeight="1" thickBot="1">
      <c r="A3" s="41"/>
      <c r="S3"/>
      <c r="T3"/>
      <c r="U3"/>
      <c r="V3" s="378" t="s">
        <v>650</v>
      </c>
      <c r="W3" s="126"/>
      <c r="X3" s="289" t="s">
        <v>6</v>
      </c>
      <c r="Y3" s="137" t="s">
        <v>146</v>
      </c>
      <c r="Z3" s="402">
        <v>0</v>
      </c>
      <c r="AA3" s="403"/>
      <c r="AB3" s="128"/>
      <c r="AC3" s="404" t="s">
        <v>36</v>
      </c>
      <c r="AD3" s="404"/>
      <c r="AE3" s="132" t="s">
        <v>40</v>
      </c>
      <c r="AF3" s="126"/>
      <c r="AG3" s="126" t="s">
        <v>531</v>
      </c>
      <c r="AH3" s="5"/>
      <c r="AI3" s="5"/>
    </row>
    <row r="4" spans="1:35" ht="17.100000000000001" customHeight="1" thickBot="1">
      <c r="A4" s="405" t="s">
        <v>31</v>
      </c>
      <c r="B4" s="406"/>
      <c r="C4" s="406"/>
      <c r="D4" s="407">
        <v>45018</v>
      </c>
      <c r="E4" s="408"/>
      <c r="F4" s="408"/>
      <c r="G4" s="408"/>
      <c r="H4" s="409"/>
      <c r="I4" s="405" t="s">
        <v>29</v>
      </c>
      <c r="J4" s="406"/>
      <c r="K4" s="410"/>
      <c r="L4" s="410"/>
      <c r="M4" s="410"/>
      <c r="N4" s="410"/>
      <c r="O4" s="410"/>
      <c r="P4" s="410"/>
      <c r="Q4" s="410"/>
      <c r="R4" s="410"/>
      <c r="S4" s="410"/>
      <c r="T4" s="410"/>
      <c r="U4" s="410"/>
      <c r="V4" s="411"/>
      <c r="W4" s="126"/>
      <c r="X4" s="205"/>
      <c r="Y4" s="372" t="s">
        <v>617</v>
      </c>
      <c r="Z4" s="412">
        <f>200*Z2</f>
        <v>266.53846015110173</v>
      </c>
      <c r="AA4" s="413"/>
      <c r="AB4" s="128"/>
      <c r="AC4" s="357" t="s">
        <v>3</v>
      </c>
      <c r="AD4" s="357" t="s">
        <v>0</v>
      </c>
      <c r="AE4" s="290">
        <v>0.2</v>
      </c>
      <c r="AF4" s="126"/>
      <c r="AG4" s="126" t="s">
        <v>532</v>
      </c>
      <c r="AH4" s="5"/>
    </row>
    <row r="5" spans="1:35" ht="17.100000000000001" customHeight="1" thickBot="1">
      <c r="A5" s="414" t="s">
        <v>590</v>
      </c>
      <c r="B5" s="415"/>
      <c r="C5" s="415"/>
      <c r="D5" s="416" t="s">
        <v>531</v>
      </c>
      <c r="E5" s="417"/>
      <c r="F5" s="417"/>
      <c r="G5" s="418"/>
      <c r="H5" s="419" t="s">
        <v>591</v>
      </c>
      <c r="I5" s="420"/>
      <c r="J5" s="421"/>
      <c r="K5" s="421"/>
      <c r="L5" s="369" t="str">
        <f>IF(D5="一級建築士","大臣",IF(D5="","","知事"))</f>
        <v>大臣</v>
      </c>
      <c r="M5" s="422" t="s">
        <v>592</v>
      </c>
      <c r="N5" s="422"/>
      <c r="O5" s="421"/>
      <c r="P5" s="421"/>
      <c r="Q5" s="426"/>
      <c r="R5" s="427" t="s">
        <v>593</v>
      </c>
      <c r="S5" s="428"/>
      <c r="T5" s="429"/>
      <c r="U5" s="430"/>
      <c r="V5" s="431"/>
      <c r="W5" s="126"/>
      <c r="X5" s="291"/>
      <c r="Y5" s="129" t="s">
        <v>147</v>
      </c>
      <c r="Z5" s="432">
        <f>R31/MAX(H23,H24)*9.8</f>
        <v>0</v>
      </c>
      <c r="AA5" s="433"/>
      <c r="AB5" s="126"/>
      <c r="AC5" s="359"/>
      <c r="AD5" s="359"/>
      <c r="AE5" s="290">
        <v>0.3</v>
      </c>
      <c r="AF5" s="126"/>
      <c r="AG5" s="126" t="s">
        <v>533</v>
      </c>
    </row>
    <row r="6" spans="1:35" ht="17.100000000000001" customHeight="1" thickBot="1">
      <c r="A6" s="414" t="s">
        <v>594</v>
      </c>
      <c r="B6" s="415"/>
      <c r="C6" s="415"/>
      <c r="D6" s="416" t="s">
        <v>531</v>
      </c>
      <c r="E6" s="417"/>
      <c r="F6" s="417"/>
      <c r="G6" s="370" t="s">
        <v>465</v>
      </c>
      <c r="H6" s="419" t="s">
        <v>591</v>
      </c>
      <c r="I6" s="420"/>
      <c r="J6" s="421"/>
      <c r="K6" s="421"/>
      <c r="L6" s="369" t="s">
        <v>595</v>
      </c>
      <c r="M6" s="422" t="s">
        <v>592</v>
      </c>
      <c r="N6" s="422"/>
      <c r="O6" s="421"/>
      <c r="P6" s="421"/>
      <c r="Q6" s="434"/>
      <c r="R6" s="367"/>
      <c r="S6" s="367"/>
      <c r="T6" s="367"/>
      <c r="U6" s="367"/>
      <c r="V6" s="367"/>
      <c r="W6" s="243"/>
      <c r="X6" s="292" t="s">
        <v>15</v>
      </c>
      <c r="Y6" s="130" t="s">
        <v>9</v>
      </c>
      <c r="Z6" s="446">
        <f>990*Z2</f>
        <v>1319.3653777479535</v>
      </c>
      <c r="AA6" s="447"/>
      <c r="AB6" s="126"/>
      <c r="AC6" s="357" t="s">
        <v>4</v>
      </c>
      <c r="AD6" s="360" t="s">
        <v>1</v>
      </c>
      <c r="AE6" s="293" t="str">
        <f>IF($C$18="ー","ー","1.0")</f>
        <v>1.0</v>
      </c>
      <c r="AF6" s="363" t="str">
        <f>IF($C$18="ー",1,$H$18)</f>
        <v>0.9</v>
      </c>
      <c r="AG6" s="139"/>
    </row>
    <row r="7" spans="1:35" ht="17.100000000000001" customHeight="1">
      <c r="A7" s="52"/>
      <c r="B7" s="52"/>
      <c r="C7" s="52"/>
      <c r="D7" s="285"/>
      <c r="E7" s="285"/>
      <c r="F7" s="285"/>
      <c r="G7" s="52"/>
      <c r="H7" s="52"/>
      <c r="I7" s="336"/>
      <c r="J7" s="336"/>
      <c r="K7" s="7"/>
      <c r="L7" s="336"/>
      <c r="M7" s="336"/>
      <c r="N7" s="336"/>
      <c r="O7" s="336"/>
      <c r="P7" s="336"/>
      <c r="Q7" s="204"/>
      <c r="R7" s="204"/>
      <c r="S7" s="204"/>
      <c r="T7" s="204"/>
      <c r="U7" s="204"/>
      <c r="V7" s="204"/>
      <c r="W7" s="294"/>
      <c r="X7" s="295"/>
      <c r="Y7" s="127" t="s">
        <v>10</v>
      </c>
      <c r="Z7" s="448">
        <f>740*Z2</f>
        <v>986.19230255907644</v>
      </c>
      <c r="AA7" s="449"/>
      <c r="AB7" s="126"/>
      <c r="AC7" s="358"/>
      <c r="AD7" s="361"/>
      <c r="AE7" s="293" t="str">
        <f>IF($C$18="ー","","0.9")</f>
        <v>0.9</v>
      </c>
      <c r="AF7" s="364"/>
      <c r="AG7" s="139"/>
    </row>
    <row r="8" spans="1:35" s="8" customFormat="1" ht="17.100000000000001" customHeight="1">
      <c r="A8" s="234" t="s">
        <v>479</v>
      </c>
      <c r="B8" s="43"/>
      <c r="C8" s="4"/>
      <c r="D8" s="4"/>
      <c r="E8" s="4"/>
      <c r="F8" s="4"/>
      <c r="G8" s="4"/>
      <c r="H8"/>
      <c r="I8"/>
      <c r="J8" s="4"/>
      <c r="K8" s="4"/>
      <c r="L8" s="4"/>
      <c r="M8" s="4"/>
      <c r="N8" s="4"/>
      <c r="O8" s="4"/>
      <c r="P8" s="4"/>
      <c r="Q8" s="4"/>
      <c r="R8" s="4"/>
      <c r="S8" s="4"/>
      <c r="T8" s="4"/>
      <c r="U8" s="4"/>
      <c r="V8" s="4"/>
      <c r="W8" s="199" t="b">
        <v>1</v>
      </c>
      <c r="X8" s="296"/>
      <c r="Y8" s="129" t="s">
        <v>11</v>
      </c>
      <c r="Z8" s="450">
        <f>500*Z2</f>
        <v>666.34615037775438</v>
      </c>
      <c r="AA8" s="451"/>
      <c r="AB8" s="126"/>
      <c r="AC8" s="358"/>
      <c r="AD8" s="361"/>
      <c r="AE8" s="293" t="str">
        <f>IF($C$18="ー","","0.8")</f>
        <v>0.8</v>
      </c>
      <c r="AF8" s="364"/>
      <c r="AG8" s="139"/>
      <c r="AH8"/>
      <c r="AI8"/>
    </row>
    <row r="9" spans="1:35" ht="17.100000000000001" customHeight="1">
      <c r="A9" s="235"/>
      <c r="B9" s="67" t="s">
        <v>477</v>
      </c>
      <c r="C9" s="4"/>
      <c r="D9" s="4"/>
      <c r="E9" s="4"/>
      <c r="F9" s="4"/>
      <c r="G9" s="4"/>
      <c r="H9" s="67"/>
      <c r="I9" s="67" t="s">
        <v>476</v>
      </c>
      <c r="J9" s="4"/>
      <c r="K9" s="4"/>
      <c r="L9" s="4"/>
      <c r="M9" s="236"/>
      <c r="N9" s="236" t="s">
        <v>478</v>
      </c>
      <c r="O9" s="4"/>
      <c r="P9" s="4"/>
      <c r="Q9" s="4"/>
      <c r="R9" s="4"/>
      <c r="S9" s="4"/>
      <c r="T9" s="4"/>
      <c r="U9" s="4"/>
      <c r="V9" s="4"/>
      <c r="W9" s="199" t="b">
        <v>0</v>
      </c>
      <c r="X9" s="205" t="s">
        <v>459</v>
      </c>
      <c r="Y9" s="127" t="s">
        <v>301</v>
      </c>
      <c r="Z9" s="452">
        <f>IF(H20="あり(多雪区域)",IF(H21*H22*0.35*Z2/AB2&gt;0,H21*H22*0.35*Z2/AB2,"記入無し"),0)</f>
        <v>1299.2424242424245</v>
      </c>
      <c r="AA9" s="453"/>
      <c r="AB9" s="126"/>
      <c r="AC9" s="359"/>
      <c r="AD9" s="362"/>
      <c r="AE9" s="293" t="str">
        <f>IF($C$18="ー","","0.7")</f>
        <v>0.7</v>
      </c>
      <c r="AF9" s="365"/>
      <c r="AG9" s="139"/>
      <c r="AH9" s="8"/>
      <c r="AI9" s="8"/>
    </row>
    <row r="10" spans="1:35" ht="17.100000000000001" customHeight="1">
      <c r="A10" s="423" t="str">
        <f>IF(W11&gt;1,"※チェックボックスはいずれかひとつを選択してください。","")</f>
        <v/>
      </c>
      <c r="B10" s="423"/>
      <c r="C10" s="423"/>
      <c r="D10" s="423"/>
      <c r="E10" s="423"/>
      <c r="F10" s="423"/>
      <c r="G10" s="423"/>
      <c r="H10" s="423"/>
      <c r="I10" s="423"/>
      <c r="J10" s="423"/>
      <c r="K10" s="423"/>
      <c r="L10" s="423"/>
      <c r="M10" s="423"/>
      <c r="N10" s="423"/>
      <c r="O10" s="423"/>
      <c r="P10" s="423"/>
      <c r="Q10" s="423"/>
      <c r="R10" s="423"/>
      <c r="S10" s="423"/>
      <c r="T10" s="423"/>
      <c r="U10" s="40"/>
      <c r="V10" s="4"/>
      <c r="W10" s="199" t="b">
        <v>0</v>
      </c>
      <c r="X10" s="206"/>
      <c r="Y10" s="207"/>
      <c r="Z10" s="424"/>
      <c r="AA10" s="425"/>
      <c r="AB10" s="126"/>
      <c r="AC10" s="159" t="s">
        <v>5</v>
      </c>
      <c r="AD10" s="159" t="s">
        <v>2</v>
      </c>
      <c r="AE10" s="297">
        <v>1</v>
      </c>
      <c r="AF10" s="126"/>
      <c r="AG10" s="124"/>
    </row>
    <row r="11" spans="1:35" ht="18" customHeight="1">
      <c r="A11" s="44" t="s">
        <v>610</v>
      </c>
      <c r="K11" s="4"/>
      <c r="L11" s="4"/>
      <c r="M11" s="4"/>
      <c r="N11" s="4"/>
      <c r="O11" s="4"/>
      <c r="P11" s="4"/>
      <c r="Q11" s="4"/>
      <c r="R11" s="4"/>
      <c r="S11" s="4"/>
      <c r="T11" s="4"/>
      <c r="U11" s="4"/>
      <c r="V11" s="4"/>
      <c r="W11" s="126">
        <f>COUNTIF(W8:W10,TRUE)</f>
        <v>1</v>
      </c>
      <c r="X11" s="435" t="s">
        <v>462</v>
      </c>
      <c r="Y11" s="131" t="s">
        <v>463</v>
      </c>
      <c r="Z11" s="402">
        <v>100</v>
      </c>
      <c r="AA11" s="403"/>
      <c r="AB11" s="126"/>
      <c r="AC11" s="437" t="s">
        <v>480</v>
      </c>
      <c r="AD11" s="438"/>
      <c r="AE11" s="297" t="str">
        <f>IF($C$20="ー","ー","なし(一般区域)")</f>
        <v>なし(一般区域)</v>
      </c>
      <c r="AF11" s="126"/>
      <c r="AG11" s="124"/>
    </row>
    <row r="12" spans="1:35" ht="17.100000000000001" customHeight="1" thickBot="1">
      <c r="A12" s="45" t="s">
        <v>636</v>
      </c>
      <c r="B12" s="46"/>
      <c r="C12" s="8"/>
      <c r="D12" s="8"/>
      <c r="E12" s="8"/>
      <c r="F12" s="8"/>
      <c r="G12" s="8"/>
      <c r="H12" s="47"/>
      <c r="I12" s="47"/>
      <c r="J12" s="8"/>
      <c r="K12" s="47"/>
      <c r="L12" s="47"/>
      <c r="M12" s="47"/>
      <c r="N12" s="47"/>
      <c r="O12" s="47"/>
      <c r="P12" s="47"/>
      <c r="Q12" s="47"/>
      <c r="R12" s="47"/>
      <c r="S12" s="237"/>
      <c r="T12" s="237"/>
      <c r="U12" s="237"/>
      <c r="V12" s="237"/>
      <c r="W12" s="126"/>
      <c r="X12" s="436"/>
      <c r="Y12" s="133" t="s">
        <v>145</v>
      </c>
      <c r="Z12" s="441">
        <f>(ROUNDUP(O35*R35*U35/1000*9.8,-1)+ROUNDUP(O36*R36*U36/1000*9.8,-1))/MAX(H23,H24)</f>
        <v>0</v>
      </c>
      <c r="AA12" s="442"/>
      <c r="AB12" s="126"/>
      <c r="AC12" s="439"/>
      <c r="AD12" s="440"/>
      <c r="AE12" s="297" t="str">
        <f>IF($C$20="ー","ー","あり(多雪区域)")</f>
        <v>あり(多雪区域)</v>
      </c>
      <c r="AF12" s="126"/>
      <c r="AG12" s="124"/>
    </row>
    <row r="13" spans="1:35" ht="17.100000000000001" customHeight="1" thickBot="1">
      <c r="S13" s="7"/>
      <c r="T13" s="7"/>
      <c r="U13" s="7"/>
      <c r="V13" s="7"/>
      <c r="W13" s="126"/>
      <c r="X13" s="298" t="s">
        <v>20</v>
      </c>
      <c r="Y13" s="134"/>
      <c r="Z13" s="443">
        <v>610</v>
      </c>
      <c r="AA13" s="444"/>
      <c r="AB13" s="299"/>
      <c r="AC13" s="445" t="s">
        <v>164</v>
      </c>
      <c r="AD13" s="445"/>
      <c r="AE13" s="132">
        <f>IF(H23&gt;0,H23/H24,"")</f>
        <v>1</v>
      </c>
      <c r="AF13" s="126"/>
      <c r="AG13" s="124"/>
    </row>
    <row r="14" spans="1:35" ht="17.100000000000001" customHeight="1" thickBot="1">
      <c r="B14" s="640" t="s">
        <v>371</v>
      </c>
      <c r="C14" s="476" t="s">
        <v>36</v>
      </c>
      <c r="D14" s="477"/>
      <c r="E14" s="477"/>
      <c r="F14" s="477"/>
      <c r="G14" s="478"/>
      <c r="H14" s="479" t="s">
        <v>37</v>
      </c>
      <c r="I14" s="480"/>
      <c r="J14" s="480"/>
      <c r="K14" s="405" t="s">
        <v>151</v>
      </c>
      <c r="L14" s="406"/>
      <c r="M14" s="406"/>
      <c r="N14" s="406"/>
      <c r="O14" s="406"/>
      <c r="P14" s="406"/>
      <c r="Q14" s="406"/>
      <c r="R14" s="406"/>
      <c r="S14" s="406"/>
      <c r="T14" s="406"/>
      <c r="U14" s="406"/>
      <c r="V14" s="481"/>
      <c r="W14" s="126"/>
      <c r="X14" s="469" t="s">
        <v>481</v>
      </c>
      <c r="Y14" s="210" t="s">
        <v>464</v>
      </c>
      <c r="Z14" s="208">
        <v>600</v>
      </c>
      <c r="AA14" s="471">
        <f>IF($W$9=TRUE,Z15,Z14)</f>
        <v>600</v>
      </c>
      <c r="AB14" s="454" t="s">
        <v>152</v>
      </c>
      <c r="AC14" s="454"/>
      <c r="AD14" s="299"/>
      <c r="AE14" s="299"/>
      <c r="AF14" s="299"/>
      <c r="AG14" s="124"/>
    </row>
    <row r="15" spans="1:35" ht="17.100000000000001" customHeight="1">
      <c r="B15" s="641"/>
      <c r="C15" s="455" t="s">
        <v>611</v>
      </c>
      <c r="D15" s="456"/>
      <c r="E15" s="456"/>
      <c r="F15" s="456"/>
      <c r="G15" s="456"/>
      <c r="H15" s="457">
        <v>3</v>
      </c>
      <c r="I15" s="458"/>
      <c r="J15" s="458"/>
      <c r="K15" s="459" t="s">
        <v>385</v>
      </c>
      <c r="L15" s="460"/>
      <c r="M15" s="460"/>
      <c r="N15" s="460"/>
      <c r="O15" s="460"/>
      <c r="P15" s="460"/>
      <c r="Q15" s="460"/>
      <c r="R15" s="460"/>
      <c r="S15" s="460"/>
      <c r="T15" s="460"/>
      <c r="U15" s="460"/>
      <c r="V15" s="461"/>
      <c r="W15" s="126"/>
      <c r="X15" s="482"/>
      <c r="Y15" s="210" t="s">
        <v>465</v>
      </c>
      <c r="Z15" s="209">
        <v>800</v>
      </c>
      <c r="AA15" s="483"/>
      <c r="AB15" s="128"/>
      <c r="AC15" s="128"/>
      <c r="AD15" s="300"/>
      <c r="AE15" s="300"/>
      <c r="AF15" s="126"/>
      <c r="AG15" s="124"/>
    </row>
    <row r="16" spans="1:35" ht="17.100000000000001" customHeight="1" thickBot="1">
      <c r="B16" s="641"/>
      <c r="C16" s="462" t="s">
        <v>612</v>
      </c>
      <c r="D16" s="463"/>
      <c r="E16" s="463"/>
      <c r="F16" s="463"/>
      <c r="G16" s="463"/>
      <c r="H16" s="464">
        <v>3</v>
      </c>
      <c r="I16" s="465"/>
      <c r="J16" s="465"/>
      <c r="K16" s="466" t="s">
        <v>386</v>
      </c>
      <c r="L16" s="467"/>
      <c r="M16" s="467"/>
      <c r="N16" s="467"/>
      <c r="O16" s="467"/>
      <c r="P16" s="467"/>
      <c r="Q16" s="467"/>
      <c r="R16" s="467"/>
      <c r="S16" s="467"/>
      <c r="T16" s="467"/>
      <c r="U16" s="467"/>
      <c r="V16" s="468"/>
      <c r="W16" s="126"/>
      <c r="X16" s="469" t="s">
        <v>482</v>
      </c>
      <c r="Y16" s="210" t="s">
        <v>464</v>
      </c>
      <c r="Z16" s="209">
        <v>1300</v>
      </c>
      <c r="AA16" s="471">
        <f>IF($W$9=TRUE,Z17,Z16)</f>
        <v>1300</v>
      </c>
      <c r="AB16" s="128"/>
      <c r="AC16" s="128"/>
      <c r="AD16" s="135"/>
      <c r="AE16" s="135"/>
      <c r="AF16" s="126"/>
      <c r="AG16" s="124"/>
    </row>
    <row r="17" spans="2:34" ht="17.100000000000001" customHeight="1" thickBot="1">
      <c r="B17" s="641"/>
      <c r="C17" s="473" t="s">
        <v>530</v>
      </c>
      <c r="D17" s="474"/>
      <c r="E17" s="474"/>
      <c r="F17" s="474"/>
      <c r="G17" s="475"/>
      <c r="H17" s="484">
        <v>0.5</v>
      </c>
      <c r="I17" s="485"/>
      <c r="J17" s="485"/>
      <c r="K17" s="459" t="s">
        <v>529</v>
      </c>
      <c r="L17" s="460"/>
      <c r="M17" s="460"/>
      <c r="N17" s="460"/>
      <c r="O17" s="460"/>
      <c r="P17" s="460"/>
      <c r="Q17" s="460"/>
      <c r="R17" s="460"/>
      <c r="S17" s="460"/>
      <c r="T17" s="460"/>
      <c r="U17" s="460"/>
      <c r="V17" s="461"/>
      <c r="W17" s="126"/>
      <c r="X17" s="470"/>
      <c r="Y17" s="230" t="s">
        <v>465</v>
      </c>
      <c r="Z17" s="211">
        <v>1800</v>
      </c>
      <c r="AA17" s="472"/>
      <c r="AB17" s="128"/>
      <c r="AC17" s="128"/>
      <c r="AD17" s="486" t="s">
        <v>213</v>
      </c>
      <c r="AE17" s="487"/>
      <c r="AF17" s="126"/>
      <c r="AG17" s="124"/>
    </row>
    <row r="18" spans="2:34" ht="17.100000000000001" customHeight="1" thickBot="1">
      <c r="B18" s="641"/>
      <c r="C18" s="488" t="str">
        <f>IF($W$8=TRUE,"地震地域係数Z","ー")</f>
        <v>地震地域係数Z</v>
      </c>
      <c r="D18" s="489"/>
      <c r="E18" s="489"/>
      <c r="F18" s="489"/>
      <c r="G18" s="489"/>
      <c r="H18" s="490" t="s">
        <v>490</v>
      </c>
      <c r="I18" s="491"/>
      <c r="J18" s="491"/>
      <c r="K18" s="492" t="str">
        <f>IF(C18="ー",IF(H18="ー","ー","プルダウンで「－」を選択してください。"),"昭55年建告第1793号第1の表の上欄に掲げる地方の区分に応じ同表下欄に掲げる数値")</f>
        <v>昭55年建告第1793号第1の表の上欄に掲げる地方の区分に応じ同表下欄に掲げる数値</v>
      </c>
      <c r="L18" s="493"/>
      <c r="M18" s="493"/>
      <c r="N18" s="493"/>
      <c r="O18" s="493"/>
      <c r="P18" s="493"/>
      <c r="Q18" s="493"/>
      <c r="R18" s="493"/>
      <c r="S18" s="493"/>
      <c r="T18" s="493"/>
      <c r="U18" s="493"/>
      <c r="V18" s="494"/>
      <c r="W18" s="126"/>
      <c r="X18" s="288"/>
      <c r="Y18" s="136"/>
      <c r="Z18" s="396" t="s">
        <v>44</v>
      </c>
      <c r="AA18" s="397"/>
      <c r="AB18" s="128"/>
      <c r="AC18" s="128"/>
      <c r="AD18" s="212" t="s">
        <v>22</v>
      </c>
      <c r="AE18" s="213" t="s">
        <v>23</v>
      </c>
      <c r="AF18" s="126"/>
      <c r="AG18" s="124"/>
    </row>
    <row r="19" spans="2:34" ht="17.100000000000001" customHeight="1">
      <c r="B19" s="641"/>
      <c r="C19" s="488" t="s">
        <v>275</v>
      </c>
      <c r="D19" s="489"/>
      <c r="E19" s="489"/>
      <c r="F19" s="489"/>
      <c r="G19" s="489"/>
      <c r="H19" s="490">
        <v>0.2</v>
      </c>
      <c r="I19" s="495"/>
      <c r="J19" s="495"/>
      <c r="K19" s="496" t="s">
        <v>39</v>
      </c>
      <c r="L19" s="497"/>
      <c r="M19" s="497"/>
      <c r="N19" s="497"/>
      <c r="O19" s="497"/>
      <c r="P19" s="497"/>
      <c r="Q19" s="497"/>
      <c r="R19" s="497"/>
      <c r="S19" s="497"/>
      <c r="T19" s="497"/>
      <c r="U19" s="497"/>
      <c r="V19" s="498"/>
      <c r="W19" s="126"/>
      <c r="X19" s="499" t="s">
        <v>8</v>
      </c>
      <c r="Y19" s="137" t="s">
        <v>24</v>
      </c>
      <c r="Z19" s="402">
        <v>1000</v>
      </c>
      <c r="AA19" s="403"/>
      <c r="AB19" s="128"/>
      <c r="AC19" s="128"/>
      <c r="AD19" s="214">
        <f t="shared" ref="AD19:AD25" si="0">ROUNDUP(Z19*((6*$H$16*2+16.5*$H$16*2)*(1-0.09)/(6*16.5)),-1)</f>
        <v>1250</v>
      </c>
      <c r="AE19" s="145">
        <f t="shared" ref="AE19:AE25" si="1">ROUNDUP(Z19*((6*$H$15*2+16.5*$H$15*2)*(1-0.09)/(6*16.5)),-1)</f>
        <v>1250</v>
      </c>
      <c r="AF19" s="126"/>
      <c r="AG19" s="124"/>
    </row>
    <row r="20" spans="2:34" ht="17.100000000000001" customHeight="1">
      <c r="B20" s="641"/>
      <c r="C20" s="488" t="str">
        <f>IF($W$8=TRUE,"多雪区域の指定","ー")</f>
        <v>多雪区域の指定</v>
      </c>
      <c r="D20" s="489"/>
      <c r="E20" s="489"/>
      <c r="F20" s="489"/>
      <c r="G20" s="502"/>
      <c r="H20" s="490" t="s">
        <v>488</v>
      </c>
      <c r="I20" s="495"/>
      <c r="J20" s="495"/>
      <c r="K20" s="515" t="str">
        <f>IF(C20="ー",IF(H20="ー","ー","プルダウンで「－」を選択してください。"),IF(H20="ー","プルダウン選択してください。","プルダウン選択"))</f>
        <v>プルダウン選択</v>
      </c>
      <c r="L20" s="516"/>
      <c r="M20" s="516"/>
      <c r="N20" s="516"/>
      <c r="O20" s="516"/>
      <c r="P20" s="516"/>
      <c r="Q20" s="516"/>
      <c r="R20" s="516"/>
      <c r="S20" s="516"/>
      <c r="T20" s="516"/>
      <c r="U20" s="516"/>
      <c r="V20" s="517"/>
      <c r="W20" s="126"/>
      <c r="X20" s="500"/>
      <c r="Y20" s="127" t="s">
        <v>25</v>
      </c>
      <c r="Z20" s="511">
        <v>890</v>
      </c>
      <c r="AA20" s="512"/>
      <c r="AB20" s="126"/>
      <c r="AC20" s="126"/>
      <c r="AD20" s="215">
        <f t="shared" si="0"/>
        <v>1110</v>
      </c>
      <c r="AE20" s="150">
        <f t="shared" si="1"/>
        <v>1110</v>
      </c>
      <c r="AF20" s="126"/>
      <c r="AG20" s="124"/>
    </row>
    <row r="21" spans="2:34" ht="17.100000000000001" customHeight="1">
      <c r="B21" s="641"/>
      <c r="C21" s="488" t="str">
        <f>IF($H$20="あり(多雪区域)","垂直積雪量（cｍ）","ー")</f>
        <v>垂直積雪量（cｍ）</v>
      </c>
      <c r="D21" s="489"/>
      <c r="E21" s="489"/>
      <c r="F21" s="489"/>
      <c r="G21" s="502"/>
      <c r="H21" s="506">
        <v>100</v>
      </c>
      <c r="I21" s="507"/>
      <c r="J21" s="507"/>
      <c r="K21" s="515" t="str">
        <f>IF(C21="垂直積雪量（cｍ）","解説・注意事項の表1-3を必ず参照する。入力時は単位に注意する。",IF(H21&gt;0,"左記の数値を削除してください。","ー"))</f>
        <v>解説・注意事項の表1-3を必ず参照する。入力時は単位に注意する。</v>
      </c>
      <c r="L21" s="516"/>
      <c r="M21" s="516"/>
      <c r="N21" s="516"/>
      <c r="O21" s="516"/>
      <c r="P21" s="516"/>
      <c r="Q21" s="516"/>
      <c r="R21" s="516"/>
      <c r="S21" s="516"/>
      <c r="T21" s="516"/>
      <c r="U21" s="516"/>
      <c r="V21" s="517"/>
      <c r="W21" s="126"/>
      <c r="X21" s="500"/>
      <c r="Y21" s="127" t="s">
        <v>12</v>
      </c>
      <c r="Z21" s="511">
        <v>600</v>
      </c>
      <c r="AA21" s="512"/>
      <c r="AB21" s="126"/>
      <c r="AC21" s="126"/>
      <c r="AD21" s="215">
        <f t="shared" si="0"/>
        <v>750</v>
      </c>
      <c r="AE21" s="150">
        <f t="shared" si="1"/>
        <v>750</v>
      </c>
      <c r="AF21" s="126"/>
      <c r="AG21" s="124"/>
    </row>
    <row r="22" spans="2:34" ht="17.100000000000001" customHeight="1">
      <c r="B22" s="641"/>
      <c r="C22" s="503" t="str">
        <f>IF($H$20="あり(多雪区域)","積雪単位荷重（N/m2/㎝）","ー")</f>
        <v>積雪単位荷重（N/m2/㎝）</v>
      </c>
      <c r="D22" s="504"/>
      <c r="E22" s="504"/>
      <c r="F22" s="504"/>
      <c r="G22" s="505"/>
      <c r="H22" s="506">
        <v>30</v>
      </c>
      <c r="I22" s="507"/>
      <c r="J22" s="507"/>
      <c r="K22" s="508" t="str">
        <f>IF(C22="積雪単位荷重（N/m2/㎝）","",IF(H22&gt;0,"左記の数値を削除してください。","ー"))</f>
        <v/>
      </c>
      <c r="L22" s="509"/>
      <c r="M22" s="509"/>
      <c r="N22" s="509"/>
      <c r="O22" s="509"/>
      <c r="P22" s="509"/>
      <c r="Q22" s="509"/>
      <c r="R22" s="509"/>
      <c r="S22" s="509"/>
      <c r="T22" s="509"/>
      <c r="U22" s="509"/>
      <c r="V22" s="510"/>
      <c r="W22" s="126"/>
      <c r="X22" s="500"/>
      <c r="Y22" s="127" t="s">
        <v>13</v>
      </c>
      <c r="Z22" s="511">
        <v>500</v>
      </c>
      <c r="AA22" s="512"/>
      <c r="AB22" s="126"/>
      <c r="AC22" s="126"/>
      <c r="AD22" s="215">
        <f t="shared" si="0"/>
        <v>630</v>
      </c>
      <c r="AE22" s="150">
        <f t="shared" si="1"/>
        <v>630</v>
      </c>
      <c r="AF22" s="126"/>
      <c r="AG22" s="124"/>
    </row>
    <row r="23" spans="2:34" ht="17.100000000000001" customHeight="1">
      <c r="B23" s="641"/>
      <c r="C23" s="462" t="s">
        <v>493</v>
      </c>
      <c r="D23" s="463"/>
      <c r="E23" s="463"/>
      <c r="F23" s="463"/>
      <c r="G23" s="463"/>
      <c r="H23" s="513">
        <v>60</v>
      </c>
      <c r="I23" s="514"/>
      <c r="J23" s="514"/>
      <c r="K23" s="515" t="s">
        <v>625</v>
      </c>
      <c r="L23" s="516"/>
      <c r="M23" s="516"/>
      <c r="N23" s="516"/>
      <c r="O23" s="516"/>
      <c r="P23" s="516"/>
      <c r="Q23" s="516"/>
      <c r="R23" s="516"/>
      <c r="S23" s="516"/>
      <c r="T23" s="516"/>
      <c r="U23" s="516"/>
      <c r="V23" s="517"/>
      <c r="W23" s="126"/>
      <c r="X23" s="501"/>
      <c r="Y23" s="129" t="s">
        <v>292</v>
      </c>
      <c r="Z23" s="432">
        <v>350</v>
      </c>
      <c r="AA23" s="433"/>
      <c r="AB23" s="126"/>
      <c r="AC23" s="126"/>
      <c r="AD23" s="215">
        <f t="shared" si="0"/>
        <v>440</v>
      </c>
      <c r="AE23" s="150">
        <f t="shared" si="1"/>
        <v>440</v>
      </c>
      <c r="AF23" s="126"/>
      <c r="AG23" s="124"/>
    </row>
    <row r="24" spans="2:34" ht="17.100000000000001" customHeight="1">
      <c r="B24" s="641"/>
      <c r="C24" s="462" t="s">
        <v>38</v>
      </c>
      <c r="D24" s="463"/>
      <c r="E24" s="463"/>
      <c r="F24" s="463"/>
      <c r="G24" s="463"/>
      <c r="H24" s="513">
        <v>60</v>
      </c>
      <c r="I24" s="514"/>
      <c r="J24" s="514"/>
      <c r="K24" s="515" t="s">
        <v>625</v>
      </c>
      <c r="L24" s="516"/>
      <c r="M24" s="516"/>
      <c r="N24" s="516"/>
      <c r="O24" s="516"/>
      <c r="P24" s="516"/>
      <c r="Q24" s="516"/>
      <c r="R24" s="516"/>
      <c r="S24" s="516"/>
      <c r="T24" s="516"/>
      <c r="U24" s="516"/>
      <c r="V24" s="517"/>
      <c r="W24" s="126"/>
      <c r="X24" s="518" t="s">
        <v>17</v>
      </c>
      <c r="Y24" s="137" t="s">
        <v>150</v>
      </c>
      <c r="Z24" s="402">
        <v>70</v>
      </c>
      <c r="AA24" s="403"/>
      <c r="AB24" s="126"/>
      <c r="AC24" s="126"/>
      <c r="AD24" s="215">
        <f t="shared" si="0"/>
        <v>90</v>
      </c>
      <c r="AE24" s="150">
        <f t="shared" si="1"/>
        <v>90</v>
      </c>
      <c r="AF24" s="126"/>
      <c r="AG24" s="124"/>
    </row>
    <row r="25" spans="2:34" ht="17.100000000000001" customHeight="1">
      <c r="B25" s="641"/>
      <c r="C25" s="473" t="s">
        <v>455</v>
      </c>
      <c r="D25" s="474"/>
      <c r="E25" s="474"/>
      <c r="F25" s="474"/>
      <c r="G25" s="474"/>
      <c r="H25" s="484">
        <v>0.5</v>
      </c>
      <c r="I25" s="485"/>
      <c r="J25" s="485"/>
      <c r="K25" s="515" t="s">
        <v>457</v>
      </c>
      <c r="L25" s="516"/>
      <c r="M25" s="516"/>
      <c r="N25" s="516"/>
      <c r="O25" s="516"/>
      <c r="P25" s="516"/>
      <c r="Q25" s="516"/>
      <c r="R25" s="516"/>
      <c r="S25" s="516"/>
      <c r="T25" s="516"/>
      <c r="U25" s="516"/>
      <c r="V25" s="517"/>
      <c r="W25" s="126"/>
      <c r="X25" s="519"/>
      <c r="Y25" s="129" t="s">
        <v>145</v>
      </c>
      <c r="Z25" s="432">
        <f>ROUNDUP(R39*U39*9.8/1000+R40*U40*9.8/1000,-1)</f>
        <v>0</v>
      </c>
      <c r="AA25" s="433"/>
      <c r="AB25" s="126"/>
      <c r="AC25" s="126"/>
      <c r="AD25" s="215">
        <f t="shared" si="0"/>
        <v>0</v>
      </c>
      <c r="AE25" s="150">
        <f t="shared" si="1"/>
        <v>0</v>
      </c>
      <c r="AF25" s="126"/>
      <c r="AG25" s="124"/>
    </row>
    <row r="26" spans="2:34" ht="17.100000000000001" customHeight="1" thickBot="1">
      <c r="B26" s="641"/>
      <c r="C26" s="473" t="s">
        <v>456</v>
      </c>
      <c r="D26" s="474"/>
      <c r="E26" s="474"/>
      <c r="F26" s="474"/>
      <c r="G26" s="474"/>
      <c r="H26" s="531">
        <v>4</v>
      </c>
      <c r="I26" s="491"/>
      <c r="J26" s="491"/>
      <c r="K26" s="532" t="s">
        <v>620</v>
      </c>
      <c r="L26" s="533"/>
      <c r="M26" s="533"/>
      <c r="N26" s="533"/>
      <c r="O26" s="534">
        <f>ATAN(H26/10)*180/PI()</f>
        <v>21.801409486351812</v>
      </c>
      <c r="P26" s="534"/>
      <c r="Q26" s="533" t="s">
        <v>621</v>
      </c>
      <c r="R26" s="533"/>
      <c r="S26" s="533"/>
      <c r="T26" s="533"/>
      <c r="U26" s="533"/>
      <c r="V26" s="535"/>
      <c r="W26" s="126"/>
      <c r="X26" s="301" t="s">
        <v>18</v>
      </c>
      <c r="Y26" s="302" t="s">
        <v>19</v>
      </c>
      <c r="Z26" s="536">
        <v>400</v>
      </c>
      <c r="AA26" s="537"/>
      <c r="AB26" s="126"/>
      <c r="AC26" s="126"/>
      <c r="AD26" s="216">
        <f>ROUNDUP(Z26*((6*$H$16*2+16.5*$H$16*2)*0.09/(6*16.5)),-1)</f>
        <v>50</v>
      </c>
      <c r="AE26" s="161">
        <f>ROUNDUP(Z26*((6*$H$15*2+16.5*$H$15*2)*0.09/(6*16.5)),-1)</f>
        <v>50</v>
      </c>
      <c r="AF26" s="126"/>
      <c r="AG26" s="124"/>
    </row>
    <row r="27" spans="2:34" ht="17.100000000000001" customHeight="1">
      <c r="B27" s="641"/>
      <c r="C27" s="462" t="s">
        <v>34</v>
      </c>
      <c r="D27" s="463"/>
      <c r="E27" s="463"/>
      <c r="F27" s="463"/>
      <c r="G27" s="463"/>
      <c r="H27" s="520" t="s">
        <v>10</v>
      </c>
      <c r="I27" s="521"/>
      <c r="J27" s="521"/>
      <c r="K27" s="515" t="s">
        <v>214</v>
      </c>
      <c r="L27" s="516"/>
      <c r="M27" s="516"/>
      <c r="N27" s="516"/>
      <c r="O27" s="516"/>
      <c r="P27" s="516"/>
      <c r="Q27" s="516"/>
      <c r="R27" s="516"/>
      <c r="S27" s="516"/>
      <c r="T27" s="516"/>
      <c r="U27" s="516"/>
      <c r="V27" s="517"/>
      <c r="W27" s="126"/>
      <c r="X27" s="303"/>
      <c r="Y27" s="134"/>
      <c r="Z27" s="522" t="s">
        <v>549</v>
      </c>
      <c r="AA27" s="523"/>
      <c r="AB27" s="126" t="s">
        <v>152</v>
      </c>
      <c r="AC27" s="126"/>
      <c r="AD27" s="126"/>
      <c r="AE27" s="126"/>
      <c r="AF27" s="126"/>
      <c r="AG27" s="124"/>
      <c r="AH27" s="5"/>
    </row>
    <row r="28" spans="2:34" ht="17.100000000000001" customHeight="1" thickBot="1">
      <c r="B28" s="641"/>
      <c r="C28" s="462" t="s">
        <v>35</v>
      </c>
      <c r="D28" s="463"/>
      <c r="E28" s="463"/>
      <c r="F28" s="463"/>
      <c r="G28" s="463"/>
      <c r="H28" s="524" t="s">
        <v>623</v>
      </c>
      <c r="I28" s="525"/>
      <c r="J28" s="525"/>
      <c r="K28" s="526" t="s">
        <v>214</v>
      </c>
      <c r="L28" s="527"/>
      <c r="M28" s="527"/>
      <c r="N28" s="527"/>
      <c r="O28" s="527"/>
      <c r="P28" s="527"/>
      <c r="Q28" s="527"/>
      <c r="R28" s="527"/>
      <c r="S28" s="527"/>
      <c r="T28" s="527"/>
      <c r="U28" s="527"/>
      <c r="V28" s="528"/>
      <c r="W28" s="126"/>
      <c r="X28" s="304" t="s">
        <v>14</v>
      </c>
      <c r="Y28" s="133" t="s">
        <v>28</v>
      </c>
      <c r="Z28" s="529">
        <v>200</v>
      </c>
      <c r="AA28" s="530"/>
      <c r="AB28" s="126"/>
      <c r="AC28" s="126"/>
      <c r="AD28" s="126"/>
      <c r="AE28" s="126"/>
      <c r="AF28" s="126"/>
      <c r="AG28" s="124"/>
    </row>
    <row r="29" spans="2:34" ht="17.100000000000001" customHeight="1">
      <c r="B29" s="641"/>
      <c r="C29" s="575" t="s">
        <v>272</v>
      </c>
      <c r="D29" s="576"/>
      <c r="E29" s="576"/>
      <c r="F29" s="576"/>
      <c r="G29" s="576"/>
      <c r="H29" s="558" t="s">
        <v>616</v>
      </c>
      <c r="I29" s="559"/>
      <c r="J29" s="559"/>
      <c r="K29" s="581" t="s">
        <v>494</v>
      </c>
      <c r="L29" s="582"/>
      <c r="M29" s="582"/>
      <c r="N29" s="582"/>
      <c r="O29" s="582"/>
      <c r="P29" s="582"/>
      <c r="Q29" s="582"/>
      <c r="R29" s="587" t="str">
        <f>IF(H29="あり(任意入力)",IF(R31=0,"下記へ数値入力してください。",""),IF(R31=0,"下記への入力は不要です。","下記の数値を削除してください"))</f>
        <v>下記への入力は不要です。</v>
      </c>
      <c r="S29" s="587"/>
      <c r="T29" s="587"/>
      <c r="U29" s="587"/>
      <c r="V29" s="588"/>
      <c r="W29" s="126"/>
      <c r="X29" s="128"/>
      <c r="Y29" s="126"/>
      <c r="Z29" s="128"/>
      <c r="AA29" s="128"/>
      <c r="AB29" s="125"/>
      <c r="AC29" s="126"/>
      <c r="AD29" s="126"/>
      <c r="AE29" s="126"/>
      <c r="AF29" s="126"/>
      <c r="AG29" s="124"/>
    </row>
    <row r="30" spans="2:34" ht="17.100000000000001" customHeight="1">
      <c r="B30" s="641"/>
      <c r="C30" s="577"/>
      <c r="D30" s="578"/>
      <c r="E30" s="578"/>
      <c r="F30" s="578"/>
      <c r="G30" s="578"/>
      <c r="H30" s="560"/>
      <c r="I30" s="561"/>
      <c r="J30" s="561"/>
      <c r="K30" s="583"/>
      <c r="L30" s="584"/>
      <c r="M30" s="584"/>
      <c r="N30" s="584"/>
      <c r="O30" s="584"/>
      <c r="P30" s="584"/>
      <c r="Q30" s="584"/>
      <c r="R30" s="589" t="s">
        <v>300</v>
      </c>
      <c r="S30" s="590"/>
      <c r="T30" s="590"/>
      <c r="U30" s="590"/>
      <c r="V30" s="591"/>
      <c r="W30" s="126"/>
      <c r="X30" s="128"/>
      <c r="Y30" s="126"/>
      <c r="Z30" s="128"/>
      <c r="AA30" s="128"/>
      <c r="AB30" s="126"/>
      <c r="AC30" s="126"/>
      <c r="AD30" s="126"/>
      <c r="AE30" s="126"/>
      <c r="AF30" s="126"/>
      <c r="AG30" s="124"/>
    </row>
    <row r="31" spans="2:34" ht="17.100000000000001" customHeight="1">
      <c r="B31" s="641"/>
      <c r="C31" s="579"/>
      <c r="D31" s="580"/>
      <c r="E31" s="580"/>
      <c r="F31" s="580"/>
      <c r="G31" s="580"/>
      <c r="H31" s="562"/>
      <c r="I31" s="563"/>
      <c r="J31" s="563"/>
      <c r="K31" s="585"/>
      <c r="L31" s="586"/>
      <c r="M31" s="586"/>
      <c r="N31" s="586"/>
      <c r="O31" s="586"/>
      <c r="P31" s="586"/>
      <c r="Q31" s="586"/>
      <c r="R31" s="592"/>
      <c r="S31" s="593"/>
      <c r="T31" s="593"/>
      <c r="U31" s="593"/>
      <c r="V31" s="594"/>
      <c r="W31" s="126"/>
      <c r="X31" s="128"/>
      <c r="Y31" s="126"/>
      <c r="Z31" s="128"/>
      <c r="AA31" s="128"/>
      <c r="AB31" s="126"/>
      <c r="AC31" s="126"/>
      <c r="AD31" s="126"/>
      <c r="AE31" s="445" t="s">
        <v>475</v>
      </c>
      <c r="AF31" s="445"/>
      <c r="AG31" s="124"/>
    </row>
    <row r="32" spans="2:34" ht="17.100000000000001" customHeight="1" thickBot="1">
      <c r="B32" s="641"/>
      <c r="C32" s="549" t="s">
        <v>483</v>
      </c>
      <c r="D32" s="550"/>
      <c r="E32" s="550"/>
      <c r="F32" s="550"/>
      <c r="G32" s="551"/>
      <c r="H32" s="558" t="s">
        <v>463</v>
      </c>
      <c r="I32" s="559"/>
      <c r="J32" s="559"/>
      <c r="K32" s="564" t="s">
        <v>466</v>
      </c>
      <c r="L32" s="565"/>
      <c r="M32" s="565"/>
      <c r="N32" s="565"/>
      <c r="O32" s="565"/>
      <c r="P32" s="565"/>
      <c r="Q32" s="565"/>
      <c r="R32" s="565"/>
      <c r="S32" s="565"/>
      <c r="T32" s="565"/>
      <c r="U32" s="565"/>
      <c r="V32" s="566"/>
      <c r="W32" s="126"/>
      <c r="X32" s="128"/>
      <c r="Y32" s="126"/>
      <c r="Z32" s="128"/>
      <c r="AA32" s="128"/>
      <c r="AB32" s="126"/>
      <c r="AC32" s="126"/>
      <c r="AD32" s="126"/>
      <c r="AE32" s="567">
        <f>($H$17/2+$H$15+$H$16+0.5)</f>
        <v>6.75</v>
      </c>
      <c r="AF32" s="445"/>
      <c r="AG32" s="124"/>
    </row>
    <row r="33" spans="1:39" ht="17.100000000000001" customHeight="1" thickBot="1">
      <c r="B33" s="641"/>
      <c r="C33" s="552"/>
      <c r="D33" s="553"/>
      <c r="E33" s="553"/>
      <c r="F33" s="553"/>
      <c r="G33" s="554"/>
      <c r="H33" s="560"/>
      <c r="I33" s="561"/>
      <c r="J33" s="561"/>
      <c r="K33" s="568" t="s">
        <v>467</v>
      </c>
      <c r="L33" s="569"/>
      <c r="M33" s="569"/>
      <c r="N33" s="569"/>
      <c r="O33" s="229"/>
      <c r="P33" s="570" t="str">
        <f>IF(H32="任意入力",IF(O35*R35*U35+O36*R36*U36=0,"下記へ数値入力してください。",""),IF(SUM(O35:V36)=0,"下記への入力は不要です。","下記の数値を削除してください"))</f>
        <v>下記への入力は不要です。</v>
      </c>
      <c r="Q33" s="570"/>
      <c r="R33" s="570"/>
      <c r="S33" s="570"/>
      <c r="T33" s="570"/>
      <c r="U33" s="570"/>
      <c r="V33" s="571"/>
      <c r="W33" s="126"/>
      <c r="X33" s="140"/>
      <c r="Y33" s="141"/>
      <c r="Z33" s="572" t="s">
        <v>295</v>
      </c>
      <c r="AA33" s="573"/>
      <c r="AB33" s="572" t="s">
        <v>296</v>
      </c>
      <c r="AC33" s="573"/>
      <c r="AD33" s="126"/>
      <c r="AE33" s="126"/>
      <c r="AF33" s="126"/>
      <c r="AG33" s="124"/>
    </row>
    <row r="34" spans="1:39" ht="17.100000000000001" customHeight="1">
      <c r="B34" s="641"/>
      <c r="C34" s="552"/>
      <c r="D34" s="553"/>
      <c r="E34" s="553"/>
      <c r="F34" s="553"/>
      <c r="G34" s="554"/>
      <c r="H34" s="560"/>
      <c r="I34" s="561"/>
      <c r="J34" s="561"/>
      <c r="K34" s="345"/>
      <c r="L34" s="286"/>
      <c r="M34" s="574"/>
      <c r="N34" s="574"/>
      <c r="O34" s="538" t="s">
        <v>484</v>
      </c>
      <c r="P34" s="539"/>
      <c r="Q34" s="540"/>
      <c r="R34" s="541" t="s">
        <v>485</v>
      </c>
      <c r="S34" s="474"/>
      <c r="T34" s="474"/>
      <c r="U34" s="217" t="s">
        <v>153</v>
      </c>
      <c r="V34" s="218"/>
      <c r="W34" s="142"/>
      <c r="X34" s="143" t="s">
        <v>148</v>
      </c>
      <c r="Y34" s="144" t="s">
        <v>159</v>
      </c>
      <c r="Z34" s="146">
        <f>((VLOOKUP($H27,Y6:AA8,2,FALSE)+VLOOKUP($H$29,Y3:AA5,2,FALSE))*$AE$13+VLOOKUP(H32,Y11:AA12,2,FALSE)*$AE$13)/1000</f>
        <v>1.3527307627101781</v>
      </c>
      <c r="AA34" s="145" t="s">
        <v>166</v>
      </c>
      <c r="AB34" s="146">
        <f>((VLOOKUP($H27,Y6:AA8,2,FALSE)+VLOOKUP($H$29,Y3:AA5,2,FALSE))+VLOOKUP(H32,Y11:AA12,2,FALSE))/1000</f>
        <v>1.3527307627101781</v>
      </c>
      <c r="AC34" s="145" t="s">
        <v>166</v>
      </c>
      <c r="AD34" s="126"/>
      <c r="AE34" s="126"/>
      <c r="AF34" s="126"/>
      <c r="AG34" s="124"/>
    </row>
    <row r="35" spans="1:39" ht="17.100000000000001" customHeight="1">
      <c r="B35" s="641"/>
      <c r="C35" s="552"/>
      <c r="D35" s="553"/>
      <c r="E35" s="553"/>
      <c r="F35" s="553"/>
      <c r="G35" s="554"/>
      <c r="H35" s="560"/>
      <c r="I35" s="561"/>
      <c r="J35" s="561"/>
      <c r="K35" s="345"/>
      <c r="L35" s="286"/>
      <c r="M35" s="542" t="s">
        <v>588</v>
      </c>
      <c r="N35" s="542"/>
      <c r="O35" s="543"/>
      <c r="P35" s="544"/>
      <c r="Q35" s="545"/>
      <c r="R35" s="546"/>
      <c r="S35" s="546"/>
      <c r="T35" s="546"/>
      <c r="U35" s="547"/>
      <c r="V35" s="548"/>
      <c r="W35" s="142"/>
      <c r="X35" s="143" t="s">
        <v>543</v>
      </c>
      <c r="Y35" s="144" t="s">
        <v>159</v>
      </c>
      <c r="Z35" s="146">
        <f>((VLOOKUP($H27,Y6:AA8,2,FALSE)+VLOOKUP($H$29,Y3:AA5,2,FALSE))*$AE$13+VLOOKUP(H32,Y11:AA12,2,FALSE)*$AE$13+$Z$9*$AE$13)/1000</f>
        <v>2.6519731869526026</v>
      </c>
      <c r="AA35" s="145" t="s">
        <v>166</v>
      </c>
      <c r="AB35" s="146"/>
      <c r="AC35" s="145"/>
      <c r="AD35" s="126"/>
      <c r="AE35" s="126"/>
      <c r="AF35" s="126"/>
      <c r="AG35" s="124"/>
      <c r="AH35" s="5"/>
    </row>
    <row r="36" spans="1:39" ht="17.100000000000001" customHeight="1" thickBot="1">
      <c r="B36" s="641"/>
      <c r="C36" s="555"/>
      <c r="D36" s="556"/>
      <c r="E36" s="556"/>
      <c r="F36" s="556"/>
      <c r="G36" s="557"/>
      <c r="H36" s="562"/>
      <c r="I36" s="563"/>
      <c r="J36" s="563"/>
      <c r="K36" s="346"/>
      <c r="L36" s="287"/>
      <c r="M36" s="574" t="s">
        <v>589</v>
      </c>
      <c r="N36" s="574"/>
      <c r="O36" s="543"/>
      <c r="P36" s="544"/>
      <c r="Q36" s="545"/>
      <c r="R36" s="546"/>
      <c r="S36" s="546"/>
      <c r="T36" s="546"/>
      <c r="U36" s="546"/>
      <c r="V36" s="595"/>
      <c r="W36" s="305"/>
      <c r="X36" s="147" t="s">
        <v>149</v>
      </c>
      <c r="Y36" s="148" t="s">
        <v>157</v>
      </c>
      <c r="Z36" s="149">
        <f>((VLOOKUP($H28,Y19:AE23,7,FALSE)+$Z$28*$H$15/2.8+VLOOKUP($H37,Y24:AE25,7,FALSE)+$AE$26)*$AE$13)/1000</f>
        <v>1.1042857142857143</v>
      </c>
      <c r="AA36" s="150" t="s">
        <v>165</v>
      </c>
      <c r="AB36" s="149">
        <f>((VLOOKUP($H28,Y19:AE23,7,FALSE)+$Z$28*$H$15/2.8+VLOOKUP($H37,Y24:AE25,7,FALSE)+$AE$26))/1000</f>
        <v>1.1042857142857143</v>
      </c>
      <c r="AC36" s="150" t="s">
        <v>165</v>
      </c>
      <c r="AD36" s="126"/>
      <c r="AE36" s="454" t="s">
        <v>393</v>
      </c>
      <c r="AF36" s="454"/>
      <c r="AG36" s="124"/>
      <c r="AH36" s="5"/>
    </row>
    <row r="37" spans="1:39" ht="17.100000000000001" customHeight="1">
      <c r="B37" s="641"/>
      <c r="C37" s="596" t="s">
        <v>273</v>
      </c>
      <c r="D37" s="597"/>
      <c r="E37" s="597"/>
      <c r="F37" s="597"/>
      <c r="G37" s="597"/>
      <c r="H37" s="600" t="s">
        <v>150</v>
      </c>
      <c r="I37" s="601"/>
      <c r="J37" s="601"/>
      <c r="K37" s="606" t="s">
        <v>495</v>
      </c>
      <c r="L37" s="607"/>
      <c r="M37" s="607"/>
      <c r="N37" s="607"/>
      <c r="O37" s="607"/>
      <c r="P37" s="356"/>
      <c r="Q37" s="612" t="str">
        <f>IF(H37="任意入力",IF(R39*U39+R40*U40=0,"下記へ数値入力してください。",""),IF(SUM(R39:V40)=0,"下記への入力は不要です。","下記の数値を削除してください"))</f>
        <v>下記への入力は不要です。</v>
      </c>
      <c r="R37" s="612"/>
      <c r="S37" s="612"/>
      <c r="T37" s="612"/>
      <c r="U37" s="612"/>
      <c r="V37" s="613"/>
      <c r="W37" s="333"/>
      <c r="X37" s="151" t="s">
        <v>154</v>
      </c>
      <c r="Y37" s="152" t="s">
        <v>158</v>
      </c>
      <c r="Z37" s="153">
        <f>($Z$13+$AA$14)*$AE$13/1000</f>
        <v>1.21</v>
      </c>
      <c r="AA37" s="150" t="s">
        <v>165</v>
      </c>
      <c r="AB37" s="153">
        <f>(Z13+AA16)/1000</f>
        <v>1.91</v>
      </c>
      <c r="AC37" s="148" t="s">
        <v>165</v>
      </c>
      <c r="AD37" s="274"/>
      <c r="AE37" s="275" t="s">
        <v>394</v>
      </c>
      <c r="AF37" s="158" t="s">
        <v>395</v>
      </c>
      <c r="AG37" s="124"/>
      <c r="AH37" s="5"/>
    </row>
    <row r="38" spans="1:39" ht="17.100000000000001" customHeight="1">
      <c r="B38" s="641"/>
      <c r="C38" s="596"/>
      <c r="D38" s="597"/>
      <c r="E38" s="597"/>
      <c r="F38" s="597"/>
      <c r="G38" s="597"/>
      <c r="H38" s="602"/>
      <c r="I38" s="603"/>
      <c r="J38" s="603"/>
      <c r="K38" s="608"/>
      <c r="L38" s="609"/>
      <c r="M38" s="609"/>
      <c r="N38" s="609"/>
      <c r="O38" s="609"/>
      <c r="P38" s="574"/>
      <c r="Q38" s="574"/>
      <c r="R38" s="626" t="s">
        <v>485</v>
      </c>
      <c r="S38" s="627"/>
      <c r="T38" s="628"/>
      <c r="U38" s="628" t="s">
        <v>153</v>
      </c>
      <c r="V38" s="629"/>
      <c r="W38" s="142"/>
      <c r="X38" s="147" t="s">
        <v>155</v>
      </c>
      <c r="Y38" s="152" t="s">
        <v>156</v>
      </c>
      <c r="Z38" s="153">
        <f>(VLOOKUP($H28,Y19:AE23,6,FALSE)+Z28*$H$16/2.8+VLOOKUP($H37,Y24:AE25,6,FALSE)+$AD$26)*1/1000</f>
        <v>1.1042857142857143</v>
      </c>
      <c r="AA38" s="150" t="s">
        <v>165</v>
      </c>
      <c r="AB38" s="153">
        <f>(VLOOKUP($H28,Y19:AE23,6,FALSE)+Z28*$H$16/2.8+VLOOKUP($H37,Y24:AE25,6,FALSE)+$AD$26)*1/1000</f>
        <v>1.1042857142857143</v>
      </c>
      <c r="AC38" s="148" t="s">
        <v>165</v>
      </c>
      <c r="AD38" s="337" t="s">
        <v>540</v>
      </c>
      <c r="AE38" s="238">
        <f>IFERROR(ROUNDUP(((1+(1/SQRT(Z42/Z42)-Z42/Z42)*2*0.03*$AE$32/(1+3*0.03*$AE$32))*$H$19*$AE$10)/0.0196*Z42,0),"")</f>
        <v>44</v>
      </c>
      <c r="AF38" s="276">
        <f>IFERROR(ROUNDUP(((1+(1/SQRT(Z41/Z42)-Z41/Z42)*2*0.03*$AE$32/(1+3*0.03*$AE$32))*$H$19*$AE$10)/0.0196*Z41/$AE$13,0),"")</f>
        <v>25</v>
      </c>
      <c r="AG38" s="124"/>
      <c r="AH38" s="5"/>
    </row>
    <row r="39" spans="1:39" ht="17.100000000000001" customHeight="1">
      <c r="B39" s="641"/>
      <c r="C39" s="596"/>
      <c r="D39" s="597"/>
      <c r="E39" s="597"/>
      <c r="F39" s="597"/>
      <c r="G39" s="597"/>
      <c r="H39" s="602"/>
      <c r="I39" s="603"/>
      <c r="J39" s="603"/>
      <c r="K39" s="608"/>
      <c r="L39" s="609"/>
      <c r="M39" s="609"/>
      <c r="N39" s="609"/>
      <c r="O39" s="609"/>
      <c r="P39" s="542" t="s">
        <v>588</v>
      </c>
      <c r="Q39" s="542"/>
      <c r="R39" s="630"/>
      <c r="S39" s="631"/>
      <c r="T39" s="632"/>
      <c r="U39" s="547"/>
      <c r="V39" s="633"/>
      <c r="W39" s="269"/>
      <c r="X39" s="154" t="s">
        <v>161</v>
      </c>
      <c r="Y39" s="155" t="s">
        <v>160</v>
      </c>
      <c r="Z39" s="271">
        <f>IF($AE$13&lt;1,(1-$AE$13)*(VLOOKUP($H27,Y6:AA8,2,FALSE)+VLOOKUP(H32,Y11:AA12,2,FALSE)+VLOOKUP($H$29,Y3:AA5,2,FALSE))/1000,0)</f>
        <v>0</v>
      </c>
      <c r="AA39" s="150" t="s">
        <v>165</v>
      </c>
      <c r="AB39" s="153"/>
      <c r="AC39" s="150"/>
      <c r="AD39" s="215" t="s">
        <v>545</v>
      </c>
      <c r="AE39" s="238">
        <f>IFERROR(ROUNDUP(((1+(1/SQRT(Z44/Z44)-Z44/Z44)*2*0.03*$AE$32/(1+3*0.03*$AE$32))*$H$19*$AF$6*$AE$10)/0.0196*Z44,0),"")</f>
        <v>51</v>
      </c>
      <c r="AF39" s="276">
        <f>IFERROR(ROUNDUP(((1+(1/SQRT(Z43/Z44)-Z43/Z44)*2*0.03*$AE$32/(1+3*0.03*$AE$32))*$H$19*$AF$6*$AE$10)/0.0196*Z43/$AE$13,0),"")</f>
        <v>35</v>
      </c>
      <c r="AG39" s="124"/>
      <c r="AH39" s="5"/>
      <c r="AI39" s="5"/>
    </row>
    <row r="40" spans="1:39" s="12" customFormat="1" ht="17.100000000000001" customHeight="1" thickBot="1">
      <c r="A40"/>
      <c r="B40" s="642"/>
      <c r="C40" s="598"/>
      <c r="D40" s="599"/>
      <c r="E40" s="599"/>
      <c r="F40" s="599"/>
      <c r="G40" s="599"/>
      <c r="H40" s="604"/>
      <c r="I40" s="605"/>
      <c r="J40" s="605"/>
      <c r="K40" s="610"/>
      <c r="L40" s="611"/>
      <c r="M40" s="611"/>
      <c r="N40" s="611"/>
      <c r="O40" s="611"/>
      <c r="P40" s="634" t="s">
        <v>589</v>
      </c>
      <c r="Q40" s="634"/>
      <c r="R40" s="635"/>
      <c r="S40" s="636"/>
      <c r="T40" s="637"/>
      <c r="U40" s="638"/>
      <c r="V40" s="639"/>
      <c r="W40" s="142"/>
      <c r="X40" s="309" t="s">
        <v>544</v>
      </c>
      <c r="Y40" s="155" t="s">
        <v>160</v>
      </c>
      <c r="Z40" s="271">
        <f>IF($AE$13&lt;1,(1-$AE$13)*(VLOOKUP($H27,Y6:AA8,2,FALSE)+VLOOKUP(H32,Y11:AA12,2,FALSE)+VLOOKUP($H$29,Y3:AA5,2,FALSE)+$Z$9)/1000,0)</f>
        <v>0</v>
      </c>
      <c r="AA40" s="145" t="s">
        <v>166</v>
      </c>
      <c r="AB40" s="268"/>
      <c r="AC40" s="272"/>
      <c r="AD40" s="215" t="s">
        <v>538</v>
      </c>
      <c r="AE40" s="238">
        <f>IFERROR(ROUNDUP(AE39*1.25,0),"")</f>
        <v>64</v>
      </c>
      <c r="AF40" s="276">
        <f>IFERROR(ROUNDUP(AF39*1.25,0),"")</f>
        <v>44</v>
      </c>
      <c r="AG40" s="245"/>
      <c r="AH40" s="242"/>
      <c r="AI40" s="242"/>
      <c r="AJ40" s="242"/>
    </row>
    <row r="41" spans="1:39" s="12" customFormat="1" ht="17.100000000000001" customHeight="1" thickBot="1">
      <c r="B41" s="68" t="s">
        <v>372</v>
      </c>
      <c r="C41" s="4"/>
      <c r="D41" s="4"/>
      <c r="E41" s="4"/>
      <c r="F41" s="4"/>
      <c r="G41" s="4"/>
      <c r="H41" s="53" t="s">
        <v>373</v>
      </c>
      <c r="I41" s="4"/>
      <c r="J41" s="347"/>
      <c r="K41" s="347"/>
      <c r="L41" s="347"/>
      <c r="M41" s="347"/>
      <c r="N41" s="347"/>
      <c r="O41" s="58"/>
      <c r="P41" s="58"/>
      <c r="Q41" s="58"/>
      <c r="R41" s="58"/>
      <c r="S41" s="348"/>
      <c r="T41" s="348"/>
      <c r="U41" s="348"/>
      <c r="V41" s="348"/>
      <c r="W41" s="656" t="s">
        <v>541</v>
      </c>
      <c r="X41" s="657" t="s">
        <v>162</v>
      </c>
      <c r="Y41" s="658"/>
      <c r="Z41" s="271">
        <f>Z34+0.5*Z36</f>
        <v>1.9048736198530354</v>
      </c>
      <c r="AA41" s="158" t="s">
        <v>165</v>
      </c>
      <c r="AB41" s="157">
        <f>AB34+0.5*AB36</f>
        <v>1.9048736198530354</v>
      </c>
      <c r="AC41" s="273" t="s">
        <v>165</v>
      </c>
      <c r="AD41" s="277" t="s">
        <v>539</v>
      </c>
      <c r="AE41" s="334">
        <f>IFERROR(ROUNDUP(AE39*1.5,0),"")</f>
        <v>77</v>
      </c>
      <c r="AF41" s="335">
        <f>IFERROR(ROUNDUP(AF39*1.5,0),"")</f>
        <v>53</v>
      </c>
      <c r="AG41" s="245"/>
      <c r="AH41" s="242"/>
      <c r="AI41" s="242"/>
      <c r="AJ41" s="242"/>
    </row>
    <row r="42" spans="1:39" ht="17.100000000000001" customHeight="1" thickBot="1">
      <c r="A42" s="68"/>
      <c r="B42" s="68" t="s">
        <v>374</v>
      </c>
      <c r="C42" s="56"/>
      <c r="D42" s="56"/>
      <c r="E42" s="56"/>
      <c r="F42" s="56"/>
      <c r="G42" s="56"/>
      <c r="H42" s="54"/>
      <c r="I42" s="54"/>
      <c r="J42" s="68"/>
      <c r="K42" s="56"/>
      <c r="L42" s="56"/>
      <c r="M42" s="56"/>
      <c r="N42" s="56"/>
      <c r="O42" s="56"/>
      <c r="P42" s="56"/>
      <c r="Q42" s="56"/>
      <c r="R42" s="56"/>
      <c r="S42" s="56"/>
      <c r="T42" s="56"/>
      <c r="U42" s="56"/>
      <c r="V42" s="348"/>
      <c r="W42" s="656"/>
      <c r="X42" s="644" t="s">
        <v>163</v>
      </c>
      <c r="Y42" s="659"/>
      <c r="Z42" s="271">
        <f>Z34+Z36+Z37+0.5*Z38+Z39</f>
        <v>4.2191593341387499</v>
      </c>
      <c r="AA42" s="240" t="s">
        <v>165</v>
      </c>
      <c r="AB42" s="239">
        <f>AB34+AB36+AB37+0.5*AB38</f>
        <v>4.9191593341387492</v>
      </c>
      <c r="AC42" s="240" t="s">
        <v>165</v>
      </c>
      <c r="AD42" s="241"/>
      <c r="AE42" s="241"/>
      <c r="AF42" s="241"/>
      <c r="AG42" s="124"/>
      <c r="AH42" s="5"/>
      <c r="AI42" s="5"/>
      <c r="AJ42" s="5"/>
    </row>
    <row r="43" spans="1:39" ht="17.100000000000001" customHeight="1" thickBot="1">
      <c r="A43" s="7"/>
      <c r="C43" s="39"/>
      <c r="D43" s="39"/>
      <c r="E43" s="39"/>
      <c r="F43" s="39"/>
      <c r="G43" s="39"/>
      <c r="H43" s="54"/>
      <c r="I43" s="54"/>
      <c r="J43" s="7"/>
      <c r="K43" s="48"/>
      <c r="L43" s="48"/>
      <c r="M43" s="48"/>
      <c r="N43" s="48"/>
      <c r="O43" s="48"/>
      <c r="P43" s="48"/>
      <c r="Q43" s="48"/>
      <c r="R43" s="48"/>
      <c r="S43" s="48"/>
      <c r="T43" s="48"/>
      <c r="U43" s="48"/>
      <c r="V43" s="48"/>
      <c r="W43" s="656" t="s">
        <v>542</v>
      </c>
      <c r="X43" s="660" t="s">
        <v>162</v>
      </c>
      <c r="Y43" s="657"/>
      <c r="Z43" s="270">
        <f>Z35+0.5*Z36</f>
        <v>3.2041160440954597</v>
      </c>
      <c r="AA43" s="158" t="s">
        <v>165</v>
      </c>
      <c r="AB43" s="244"/>
      <c r="AC43" s="241"/>
      <c r="AD43" s="126"/>
      <c r="AE43" s="126"/>
      <c r="AF43" s="126"/>
      <c r="AG43" s="124"/>
      <c r="AH43" s="5"/>
      <c r="AI43" s="5"/>
      <c r="AJ43" s="5"/>
    </row>
    <row r="44" spans="1:39" ht="17.100000000000001" customHeight="1" thickBot="1">
      <c r="B44" s="614" t="s">
        <v>30</v>
      </c>
      <c r="C44" s="617" t="s">
        <v>652</v>
      </c>
      <c r="D44" s="617"/>
      <c r="E44" s="617"/>
      <c r="F44" s="622" t="str">
        <f>IF(F45="等級1","耐震等級","等級")</f>
        <v>耐震等級</v>
      </c>
      <c r="G44" s="623"/>
      <c r="H44" s="624" t="s">
        <v>22</v>
      </c>
      <c r="I44" s="624"/>
      <c r="J44" s="624" t="s">
        <v>23</v>
      </c>
      <c r="K44" s="625"/>
      <c r="L44" s="54"/>
      <c r="M44" s="54"/>
      <c r="N44" s="54"/>
      <c r="O44" s="54"/>
      <c r="P44" s="54"/>
      <c r="Q44" s="54"/>
      <c r="R44" s="54"/>
      <c r="S44" s="7"/>
      <c r="T44" s="7"/>
      <c r="U44" s="7"/>
      <c r="V44" s="48"/>
      <c r="W44" s="656"/>
      <c r="X44" s="643" t="s">
        <v>163</v>
      </c>
      <c r="Y44" s="644"/>
      <c r="Z44" s="239">
        <f>Z35+Z36+Z37+0.5*Z38+Z40</f>
        <v>5.5184017583811737</v>
      </c>
      <c r="AA44" s="240" t="s">
        <v>165</v>
      </c>
      <c r="AB44" s="162"/>
      <c r="AC44" s="126"/>
      <c r="AD44" s="126"/>
      <c r="AE44" s="126"/>
      <c r="AF44" s="126"/>
      <c r="AG44" s="124"/>
      <c r="AH44" s="11"/>
      <c r="AI44" s="5"/>
      <c r="AJ44" s="5"/>
    </row>
    <row r="45" spans="1:39" ht="17.100000000000001" customHeight="1">
      <c r="B45" s="615"/>
      <c r="C45" s="618"/>
      <c r="D45" s="618"/>
      <c r="E45" s="619"/>
      <c r="F45" s="645" t="str">
        <f>IF($W$8=TRUE,"等級1","基準法")</f>
        <v>等級1</v>
      </c>
      <c r="G45" s="646"/>
      <c r="H45" s="647">
        <f>IF(W11=1,IF(R29="下記へ数値入力してください。","",IF(P33="下記へ数値入力してください。","",IF(Q37="下記へ数値入力してください。","",AE38)))," ")</f>
        <v>44</v>
      </c>
      <c r="I45" s="647"/>
      <c r="J45" s="647">
        <f>IF(W11=1,IF(R29="下記へ数値入力してください。","",IF(P33="下記へ数値入力してください。","",IF(Q37="下記へ数値入力してください。","",AF38)))," ")</f>
        <v>25</v>
      </c>
      <c r="K45" s="648"/>
      <c r="L45" s="649" t="s">
        <v>528</v>
      </c>
      <c r="M45" s="650"/>
      <c r="N45" s="650"/>
      <c r="O45" s="650"/>
      <c r="P45" s="650"/>
      <c r="Q45" s="650"/>
      <c r="R45" s="650"/>
      <c r="S45" s="650"/>
      <c r="T45" s="650"/>
      <c r="U45" s="650"/>
      <c r="V45" s="650"/>
      <c r="W45" s="199"/>
      <c r="X45" s="243"/>
      <c r="Y45" s="243"/>
      <c r="Z45" s="244"/>
      <c r="AA45" s="241"/>
      <c r="AB45" s="162"/>
      <c r="AC45" s="126"/>
      <c r="AD45" s="126"/>
      <c r="AE45" s="126"/>
      <c r="AF45" s="126"/>
      <c r="AG45" s="124"/>
      <c r="AH45" s="11"/>
      <c r="AI45" s="5"/>
      <c r="AJ45" s="5"/>
    </row>
    <row r="46" spans="1:39" ht="17.100000000000001" customHeight="1">
      <c r="B46" s="615"/>
      <c r="C46" s="618"/>
      <c r="D46" s="618"/>
      <c r="E46" s="619"/>
      <c r="F46" s="651" t="str">
        <f>IF($W$8=TRUE,"等級2","ー")</f>
        <v>等級2</v>
      </c>
      <c r="G46" s="652"/>
      <c r="H46" s="653">
        <f>IF(W11=1,IF($W$8=TRUE,IF(R29="下記へ数値入力してください。","",IF(P33="下記へ数値入力してください。","",IF(Q37="下記へ数値入力してください。","",AE40))),"ー")," ")</f>
        <v>64</v>
      </c>
      <c r="I46" s="654"/>
      <c r="J46" s="653">
        <f>IF(W11=1,IF($W$8=TRUE,IF(R29="下記へ数値入力してください。","",IF(P33="下記へ数値入力してください。","",IF(Q37="下記へ数値入力してください。","",AF40))),"ー")," ")</f>
        <v>44</v>
      </c>
      <c r="K46" s="655"/>
      <c r="L46" s="649"/>
      <c r="M46" s="650"/>
      <c r="N46" s="650"/>
      <c r="O46" s="650"/>
      <c r="P46" s="650"/>
      <c r="Q46" s="650"/>
      <c r="R46" s="650"/>
      <c r="S46" s="650"/>
      <c r="T46" s="650"/>
      <c r="U46" s="650"/>
      <c r="V46" s="650"/>
      <c r="W46" s="199"/>
      <c r="X46" s="128"/>
      <c r="Y46" s="128"/>
      <c r="Z46" s="162"/>
      <c r="AA46" s="126"/>
      <c r="AB46" s="126"/>
      <c r="AC46" s="126"/>
      <c r="AD46" s="126"/>
      <c r="AE46" s="126"/>
      <c r="AF46" s="126"/>
      <c r="AG46" s="124"/>
      <c r="AH46" s="11"/>
      <c r="AI46" s="5"/>
    </row>
    <row r="47" spans="1:39" ht="17.100000000000001" customHeight="1" thickBot="1">
      <c r="B47" s="616"/>
      <c r="C47" s="620"/>
      <c r="D47" s="620"/>
      <c r="E47" s="621"/>
      <c r="F47" s="673" t="str">
        <f>IF($W$8=TRUE,"等級3","ー")</f>
        <v>等級3</v>
      </c>
      <c r="G47" s="674"/>
      <c r="H47" s="675">
        <f>IF(W11=1,IF($W$8=TRUE,IF(R29="下記へ数値入力してください。","",IF(P33="下記へ数値入力してください。","",IF(Q37="下記へ数値入力してください。","",AE41))),"ー")," ")</f>
        <v>77</v>
      </c>
      <c r="I47" s="676"/>
      <c r="J47" s="675">
        <f>IF(W11=1,IF($W$8=TRUE,IF(R29="下記へ数値入力してください。","",IF(P33="下記へ数値入力してください。","",IF(Q37="下記へ数値入力してください。","",AF41))),"ー")," ")</f>
        <v>53</v>
      </c>
      <c r="K47" s="677"/>
      <c r="L47" s="608" t="str">
        <f>IF(H22&gt;0,"※等級1は基準法と同一の値になるので、積雪荷重は影響しません。","")</f>
        <v>※等級1は基準法と同一の値になるので、積雪荷重は影響しません。</v>
      </c>
      <c r="M47" s="609"/>
      <c r="N47" s="609"/>
      <c r="O47" s="609"/>
      <c r="P47" s="609"/>
      <c r="Q47" s="609"/>
      <c r="R47" s="609"/>
      <c r="S47" s="609"/>
      <c r="T47" s="609"/>
      <c r="U47" s="609"/>
      <c r="V47" s="609"/>
      <c r="W47" s="199"/>
      <c r="X47" s="309"/>
      <c r="Y47" s="309"/>
      <c r="Z47" s="309"/>
      <c r="AA47" s="126"/>
      <c r="AB47" s="126"/>
      <c r="AC47" s="126"/>
      <c r="AD47" s="126"/>
      <c r="AE47" s="126"/>
      <c r="AF47" s="126"/>
      <c r="AG47" s="138"/>
      <c r="AH47" s="5"/>
      <c r="AI47" s="5"/>
      <c r="AJ47" s="5"/>
      <c r="AL47" s="5"/>
      <c r="AM47" s="5"/>
    </row>
    <row r="48" spans="1:39" ht="17.100000000000001" customHeight="1">
      <c r="B48" s="56"/>
      <c r="C48" s="10"/>
      <c r="D48" s="10"/>
      <c r="E48" s="10"/>
      <c r="F48" s="10"/>
      <c r="G48" s="10"/>
      <c r="H48" s="55"/>
      <c r="I48" s="55"/>
      <c r="J48" s="55"/>
      <c r="K48" s="55"/>
      <c r="L48" s="352"/>
      <c r="M48" s="352"/>
      <c r="N48" s="352"/>
      <c r="O48" s="352"/>
      <c r="P48" s="352"/>
      <c r="Q48" s="352"/>
      <c r="R48" s="352"/>
      <c r="S48" s="352"/>
      <c r="T48" s="352"/>
      <c r="U48" s="352"/>
      <c r="V48" s="352"/>
      <c r="W48" s="199"/>
      <c r="X48" s="309"/>
      <c r="Y48" s="309"/>
      <c r="Z48" s="309"/>
      <c r="AA48" s="126"/>
      <c r="AB48" s="126"/>
      <c r="AC48" s="126"/>
      <c r="AD48" s="126"/>
      <c r="AE48" s="126"/>
      <c r="AF48" s="126"/>
      <c r="AG48" s="138"/>
      <c r="AH48" s="11"/>
      <c r="AI48" s="5"/>
      <c r="AJ48" s="5"/>
      <c r="AK48" s="5"/>
      <c r="AL48" s="5"/>
      <c r="AM48" s="5"/>
    </row>
    <row r="49" spans="1:43" ht="17.100000000000001" customHeight="1">
      <c r="A49" s="45" t="s">
        <v>628</v>
      </c>
      <c r="B49" s="46"/>
      <c r="C49" s="8"/>
      <c r="D49" s="8"/>
      <c r="E49" s="8"/>
      <c r="F49" s="8"/>
      <c r="G49" s="8"/>
      <c r="H49" s="47"/>
      <c r="I49" s="47"/>
      <c r="J49" s="8"/>
      <c r="K49" s="47"/>
      <c r="L49" s="47"/>
      <c r="M49" s="47"/>
      <c r="N49" s="47"/>
      <c r="O49" s="47"/>
      <c r="P49" s="47"/>
      <c r="Q49" s="47"/>
      <c r="R49" s="47"/>
      <c r="S49" s="237"/>
      <c r="T49" s="237"/>
      <c r="U49" s="237"/>
      <c r="V49" s="7"/>
      <c r="W49" s="199"/>
      <c r="X49" s="309"/>
      <c r="Y49" s="309"/>
      <c r="Z49" s="309"/>
      <c r="AA49" s="126"/>
      <c r="AB49" s="126"/>
      <c r="AC49" s="126"/>
      <c r="AD49" s="126"/>
      <c r="AE49" s="126"/>
      <c r="AF49" s="126"/>
      <c r="AG49" s="138"/>
      <c r="AH49" s="11"/>
      <c r="AI49" s="5"/>
      <c r="AJ49" s="5"/>
      <c r="AK49" s="5"/>
      <c r="AL49" s="5"/>
      <c r="AM49" s="5"/>
    </row>
    <row r="50" spans="1:43" ht="17.100000000000001" customHeight="1">
      <c r="A50" s="46" t="s">
        <v>405</v>
      </c>
      <c r="B50" s="46"/>
      <c r="C50" s="8"/>
      <c r="D50" s="8"/>
      <c r="E50" s="8"/>
      <c r="F50" s="8"/>
      <c r="G50" s="8"/>
      <c r="H50" s="47"/>
      <c r="I50" s="47"/>
      <c r="J50" s="8"/>
      <c r="K50" s="47"/>
      <c r="L50" s="47"/>
      <c r="M50" s="47"/>
      <c r="N50" s="47"/>
      <c r="O50" s="47"/>
      <c r="P50" s="47"/>
      <c r="Q50" s="47"/>
      <c r="R50" s="47"/>
      <c r="S50" s="237"/>
      <c r="T50" s="237"/>
      <c r="U50" s="237"/>
      <c r="V50" s="237"/>
      <c r="W50" s="199"/>
      <c r="X50" s="128"/>
      <c r="Y50" s="128"/>
      <c r="Z50" s="126"/>
      <c r="AA50" s="126"/>
      <c r="AB50" s="126"/>
      <c r="AC50" s="126"/>
      <c r="AD50" s="126"/>
      <c r="AE50" s="126"/>
      <c r="AF50" s="126"/>
      <c r="AG50" s="124"/>
      <c r="AH50" s="5"/>
      <c r="AI50" s="11"/>
      <c r="AJ50" s="11"/>
      <c r="AK50" s="5"/>
      <c r="AL50" s="11"/>
      <c r="AM50" s="11"/>
      <c r="AN50" s="11"/>
      <c r="AO50" s="5"/>
      <c r="AP50" s="5"/>
      <c r="AQ50" s="5"/>
    </row>
    <row r="51" spans="1:43" ht="17.100000000000001" customHeight="1" thickBot="1">
      <c r="A51" s="46" t="s">
        <v>496</v>
      </c>
      <c r="B51" s="46"/>
      <c r="C51" s="8"/>
      <c r="D51" s="8"/>
      <c r="E51" s="8"/>
      <c r="F51" s="8"/>
      <c r="G51" s="8"/>
      <c r="H51" s="47"/>
      <c r="I51" s="47"/>
      <c r="J51" s="8"/>
      <c r="K51" s="47"/>
      <c r="L51" s="47"/>
      <c r="M51" s="47"/>
      <c r="N51" s="47"/>
      <c r="O51" s="47"/>
      <c r="P51" s="47"/>
      <c r="Q51" s="47"/>
      <c r="R51" s="47"/>
      <c r="S51" s="237"/>
      <c r="T51" s="237"/>
      <c r="U51" s="237"/>
      <c r="V51" s="237"/>
      <c r="W51" s="199"/>
      <c r="X51" s="128"/>
      <c r="Y51" s="128"/>
      <c r="Z51" s="126"/>
      <c r="AA51" s="126"/>
      <c r="AB51" s="126"/>
      <c r="AC51" s="126"/>
      <c r="AD51" s="126"/>
      <c r="AE51" s="126"/>
      <c r="AF51" s="126"/>
      <c r="AG51" s="124"/>
      <c r="AH51" s="5"/>
      <c r="AI51" s="11"/>
      <c r="AJ51" s="11"/>
      <c r="AK51" s="5"/>
      <c r="AL51" s="11"/>
      <c r="AM51" s="11"/>
      <c r="AN51" s="11"/>
      <c r="AO51" s="5"/>
      <c r="AP51" s="5"/>
      <c r="AQ51" s="5"/>
    </row>
    <row r="52" spans="1:43" ht="15.75" customHeight="1">
      <c r="A52" s="46"/>
      <c r="B52" s="46" t="str">
        <f>IF(H22&gt;0,"柱の小径は、建築基準法に基づく検討内容なので積雪荷重は影響しません。","")</f>
        <v>柱の小径は、建築基準法に基づく検討内容なので積雪荷重は影響しません。</v>
      </c>
      <c r="C52" s="8"/>
      <c r="D52" s="8"/>
      <c r="E52" s="8"/>
      <c r="F52" s="8"/>
      <c r="G52" s="8"/>
      <c r="H52" s="47"/>
      <c r="I52" s="47"/>
      <c r="J52" s="8"/>
      <c r="K52" s="47"/>
      <c r="L52" s="47"/>
      <c r="M52" s="47"/>
      <c r="N52" s="47"/>
      <c r="O52" s="47"/>
      <c r="P52" s="47"/>
      <c r="Q52" s="47"/>
      <c r="R52" s="47"/>
      <c r="S52" s="237"/>
      <c r="T52" s="237"/>
      <c r="U52" s="237"/>
      <c r="V52" s="237"/>
      <c r="W52" s="311" t="b">
        <v>1</v>
      </c>
      <c r="X52" s="678" t="s">
        <v>190</v>
      </c>
      <c r="Y52" s="679"/>
      <c r="Z52" s="684" t="s">
        <v>187</v>
      </c>
      <c r="AA52" s="661" t="s">
        <v>188</v>
      </c>
      <c r="AB52" s="664" t="s">
        <v>316</v>
      </c>
      <c r="AC52" s="664" t="s">
        <v>317</v>
      </c>
      <c r="AD52" s="664" t="s">
        <v>297</v>
      </c>
      <c r="AE52" s="667" t="s">
        <v>318</v>
      </c>
      <c r="AF52" s="670" t="s">
        <v>189</v>
      </c>
      <c r="AG52" s="124"/>
      <c r="AH52" s="5"/>
      <c r="AI52" s="11"/>
      <c r="AJ52" s="5"/>
      <c r="AK52" s="11"/>
    </row>
    <row r="53" spans="1:43" ht="17.100000000000001" customHeight="1">
      <c r="H53"/>
      <c r="I53"/>
      <c r="J53" s="4"/>
      <c r="K53" s="4"/>
      <c r="L53" s="4"/>
      <c r="M53" s="4"/>
      <c r="N53" s="4"/>
      <c r="O53" s="4"/>
      <c r="P53" s="4"/>
      <c r="Q53" s="4"/>
      <c r="R53" s="4"/>
      <c r="S53" s="4"/>
      <c r="T53" s="4"/>
      <c r="U53" s="4"/>
      <c r="V53" s="9"/>
      <c r="W53" s="311"/>
      <c r="X53" s="680"/>
      <c r="Y53" s="681"/>
      <c r="Z53" s="685"/>
      <c r="AA53" s="662"/>
      <c r="AB53" s="665"/>
      <c r="AC53" s="665"/>
      <c r="AD53" s="665"/>
      <c r="AE53" s="668"/>
      <c r="AF53" s="671"/>
      <c r="AG53" s="138"/>
      <c r="AH53" s="5"/>
      <c r="AI53" s="5"/>
      <c r="AJ53" s="5"/>
      <c r="AK53" s="5"/>
    </row>
    <row r="54" spans="1:43" ht="17.100000000000001" customHeight="1" thickBot="1">
      <c r="B54" s="44" t="s">
        <v>331</v>
      </c>
      <c r="C54" s="7"/>
      <c r="D54" s="7"/>
      <c r="E54" s="7"/>
      <c r="H54"/>
      <c r="I54"/>
      <c r="K54" s="4"/>
      <c r="L54" s="4"/>
      <c r="M54" s="4"/>
      <c r="N54" s="4"/>
      <c r="O54" s="4"/>
      <c r="P54" s="4"/>
      <c r="Q54" s="4"/>
      <c r="R54" s="4"/>
      <c r="S54" s="4"/>
      <c r="T54" s="4"/>
      <c r="U54" s="4"/>
      <c r="V54" s="4"/>
      <c r="W54" s="169"/>
      <c r="X54" s="682"/>
      <c r="Y54" s="683"/>
      <c r="Z54" s="686"/>
      <c r="AA54" s="663"/>
      <c r="AB54" s="666"/>
      <c r="AC54" s="666"/>
      <c r="AD54" s="666"/>
      <c r="AE54" s="669"/>
      <c r="AF54" s="672"/>
      <c r="AG54" s="138"/>
      <c r="AH54" s="11"/>
      <c r="AI54" s="11"/>
      <c r="AJ54" s="5"/>
      <c r="AK54" s="5"/>
    </row>
    <row r="55" spans="1:43" ht="17.100000000000001" customHeight="1" thickBot="1">
      <c r="B55" s="44" t="s">
        <v>381</v>
      </c>
      <c r="C55" s="7"/>
      <c r="D55" s="7"/>
      <c r="E55" s="7"/>
      <c r="H55"/>
      <c r="I55" s="57" t="s">
        <v>373</v>
      </c>
      <c r="K55" s="4"/>
      <c r="L55" s="4"/>
      <c r="M55" s="4"/>
      <c r="N55" s="4"/>
      <c r="O55" s="4"/>
      <c r="P55" s="4"/>
      <c r="Q55" s="4"/>
      <c r="R55" s="4"/>
      <c r="S55" s="4"/>
      <c r="T55" s="4"/>
      <c r="U55" s="4"/>
      <c r="V55" s="4"/>
      <c r="W55" s="169"/>
      <c r="X55" s="697" t="s">
        <v>23</v>
      </c>
      <c r="Y55" s="698"/>
      <c r="Z55" s="163">
        <f>AB34+0.5*AB36</f>
        <v>1.9048736198530354</v>
      </c>
      <c r="AA55" s="164">
        <f>AB34+0.5*($Z$28*$H$15/2.8)/1000</f>
        <v>1.4598736198530353</v>
      </c>
      <c r="AB55" s="222"/>
      <c r="AC55" s="222"/>
      <c r="AD55" s="165">
        <f>$H$15*1000-105</f>
        <v>2895</v>
      </c>
      <c r="AE55" s="338">
        <f>IF($W$52=TRUE,17.7,"")</f>
        <v>17.7</v>
      </c>
      <c r="AF55" s="166">
        <v>5</v>
      </c>
      <c r="AG55" s="138"/>
      <c r="AH55" s="5"/>
      <c r="AI55" s="11"/>
      <c r="AJ55" s="5"/>
      <c r="AK55" s="5"/>
    </row>
    <row r="56" spans="1:43" ht="17.100000000000001" customHeight="1" thickBot="1">
      <c r="A56" s="49"/>
      <c r="B56" s="699" t="s">
        <v>274</v>
      </c>
      <c r="C56" s="700"/>
      <c r="D56" s="701" t="s">
        <v>200</v>
      </c>
      <c r="E56" s="702"/>
      <c r="F56" s="702"/>
      <c r="G56" s="702"/>
      <c r="H56" s="703"/>
      <c r="I56" s="58"/>
      <c r="J56" s="58"/>
      <c r="K56" s="58"/>
      <c r="L56" s="58"/>
      <c r="M56" s="58"/>
      <c r="N56" s="58"/>
      <c r="O56" s="58"/>
      <c r="P56" s="58"/>
      <c r="Q56" s="58"/>
      <c r="R56" s="58"/>
      <c r="S56" s="58"/>
      <c r="T56" s="58"/>
      <c r="U56" s="58"/>
      <c r="V56" s="4"/>
      <c r="W56" s="178"/>
      <c r="X56" s="704" t="s">
        <v>22</v>
      </c>
      <c r="Y56" s="705"/>
      <c r="Z56" s="219">
        <f>AB34+AB36+AB37+AB39+0.5*AB38</f>
        <v>4.9191593341387492</v>
      </c>
      <c r="AA56" s="167">
        <f>AB34+($Z$28*$H$15/2.8)/1000+AB37+AB39+0.5*($Z$28*$H$16/2.8)/1000</f>
        <v>3.5841593341387497</v>
      </c>
      <c r="AB56" s="220">
        <f>AB39+0.5*AB38</f>
        <v>0.55214285714285716</v>
      </c>
      <c r="AC56" s="221">
        <f>AB39+0.5*($Z$28*$H$16/2.8)/1000</f>
        <v>0.10714285714285715</v>
      </c>
      <c r="AD56" s="168">
        <f>$H$16*1000-120</f>
        <v>2880</v>
      </c>
      <c r="AE56" s="310">
        <f>IF($W$52=TRUE,17.7,"")</f>
        <v>17.7</v>
      </c>
      <c r="AF56" s="126"/>
      <c r="AG56" s="138"/>
      <c r="AH56" s="5"/>
      <c r="AI56" s="11"/>
      <c r="AJ56" s="5"/>
      <c r="AK56" s="5"/>
      <c r="AL56" s="5"/>
      <c r="AM56" s="5"/>
    </row>
    <row r="57" spans="1:43" ht="17.100000000000001" customHeight="1" thickBot="1">
      <c r="B57" s="596"/>
      <c r="C57" s="597"/>
      <c r="D57" s="706" t="s">
        <v>534</v>
      </c>
      <c r="E57" s="707"/>
      <c r="F57" s="710" t="s">
        <v>535</v>
      </c>
      <c r="G57" s="710"/>
      <c r="H57" s="711"/>
      <c r="I57" s="58"/>
      <c r="J57" s="58"/>
      <c r="K57" s="58"/>
      <c r="L57" s="58"/>
      <c r="M57" s="58"/>
      <c r="N57" s="58"/>
      <c r="O57" s="58"/>
      <c r="P57" s="58"/>
      <c r="Q57" s="58"/>
      <c r="R57" s="58"/>
      <c r="S57" s="58"/>
      <c r="T57" s="58"/>
      <c r="U57" s="58"/>
      <c r="V57" s="58"/>
      <c r="W57" s="178"/>
      <c r="X57" s="170"/>
      <c r="Y57" s="243"/>
      <c r="Z57" s="171"/>
      <c r="AA57" s="128"/>
      <c r="AB57" s="128"/>
      <c r="AC57" s="172"/>
      <c r="AD57" s="172"/>
      <c r="AE57" s="126"/>
      <c r="AF57" s="126"/>
      <c r="AG57" s="138"/>
      <c r="AH57" s="5"/>
      <c r="AI57" s="5"/>
      <c r="AJ57" s="5"/>
      <c r="AK57" s="5"/>
      <c r="AL57" s="5"/>
      <c r="AM57" s="5"/>
    </row>
    <row r="58" spans="1:43" ht="17.100000000000001" customHeight="1" thickBot="1">
      <c r="B58" s="598"/>
      <c r="C58" s="599"/>
      <c r="D58" s="708"/>
      <c r="E58" s="709"/>
      <c r="F58" s="712"/>
      <c r="G58" s="712"/>
      <c r="H58" s="713"/>
      <c r="I58" s="58"/>
      <c r="J58" s="58"/>
      <c r="K58" s="58"/>
      <c r="L58" s="58"/>
      <c r="M58" s="58"/>
      <c r="N58" s="58"/>
      <c r="O58" s="58"/>
      <c r="P58" s="58"/>
      <c r="Q58" s="58"/>
      <c r="R58" s="58"/>
      <c r="S58" s="58"/>
      <c r="T58" s="58"/>
      <c r="U58" s="58"/>
      <c r="V58" s="58"/>
      <c r="W58" s="178"/>
      <c r="X58" s="173"/>
      <c r="Y58" s="174" t="s">
        <v>192</v>
      </c>
      <c r="Z58" s="175" t="s">
        <v>191</v>
      </c>
      <c r="AA58" s="176" t="s">
        <v>193</v>
      </c>
      <c r="AB58" s="176" t="s">
        <v>278</v>
      </c>
      <c r="AC58" s="279" t="s">
        <v>277</v>
      </c>
      <c r="AD58" s="243"/>
      <c r="AE58" s="126"/>
      <c r="AF58" s="126"/>
      <c r="AG58" s="138"/>
      <c r="AH58" s="5"/>
      <c r="AI58" s="5"/>
      <c r="AK58" s="5"/>
      <c r="AM58" s="5"/>
    </row>
    <row r="59" spans="1:43" ht="17.100000000000001" customHeight="1">
      <c r="B59" s="455" t="s">
        <v>23</v>
      </c>
      <c r="C59" s="456"/>
      <c r="D59" s="687" t="str">
        <f>IFERROR(IF($W$52=TRUE,"１/"&amp;ROUNDDOWN((H15*1000-105)/F59,1),""),"")</f>
        <v>１/34.4</v>
      </c>
      <c r="E59" s="688"/>
      <c r="F59" s="689">
        <f>IF($W$52=TRUE,IF(AB59="","",MAX(AB59:AC59)),"")</f>
        <v>84</v>
      </c>
      <c r="G59" s="689"/>
      <c r="H59" s="690"/>
      <c r="I59" s="59"/>
      <c r="J59" s="59"/>
      <c r="K59" s="59"/>
      <c r="L59" s="59"/>
      <c r="M59" s="59"/>
      <c r="N59" s="59"/>
      <c r="O59" s="59"/>
      <c r="P59" s="59"/>
      <c r="Q59" s="59"/>
      <c r="R59" s="59"/>
      <c r="S59" s="59"/>
      <c r="T59" s="59"/>
      <c r="U59" s="59"/>
      <c r="V59" s="58"/>
      <c r="W59" s="178"/>
      <c r="X59" s="179" t="s">
        <v>167</v>
      </c>
      <c r="Y59" s="180">
        <f>$AD$55/52.7</f>
        <v>54.933586337760907</v>
      </c>
      <c r="Z59" s="181">
        <f>$AD$55/8.66</f>
        <v>334.29561200923786</v>
      </c>
      <c r="AA59" s="182">
        <f>SQRT($Z$55*$AF$55/(1.1/3*AE55)*1000)</f>
        <v>38.308552069663783</v>
      </c>
      <c r="AB59" s="182">
        <f>IFERROR(ROUNDUP(IF(Y59&gt;AA59,(12*($AD$55)^2/3000*AA59^2)^(1/4),IF(Z59&lt;AA59,AA59,$AD$55/75.05+SQRT(($AD$55/75.05)^2+AA59^2/1.3))),0),"")</f>
        <v>84</v>
      </c>
      <c r="AC59" s="280">
        <f>ROUNDUP(SQRT(12)*AD55/150,0)</f>
        <v>67</v>
      </c>
      <c r="AD59" s="243"/>
      <c r="AE59" s="126"/>
      <c r="AF59" s="126"/>
      <c r="AG59" s="138"/>
      <c r="AH59" s="5"/>
      <c r="AI59" s="5"/>
    </row>
    <row r="60" spans="1:43" s="7" customFormat="1" ht="17.100000000000001" customHeight="1" thickBot="1">
      <c r="A60"/>
      <c r="B60" s="691" t="s">
        <v>22</v>
      </c>
      <c r="C60" s="692"/>
      <c r="D60" s="693" t="str">
        <f>IFERROR(IF($W$52=TRUE,"１/"&amp;ROUNDDOWN((H16*1000-120)/F60,1),""),"")</f>
        <v>１/27.4</v>
      </c>
      <c r="E60" s="694"/>
      <c r="F60" s="695">
        <f>IF($W$52=TRUE,IF(AB60="","",MAX(AB60:AC60)),"")</f>
        <v>105</v>
      </c>
      <c r="G60" s="695"/>
      <c r="H60" s="696"/>
      <c r="I60" s="59"/>
      <c r="J60" s="59"/>
      <c r="K60" s="59"/>
      <c r="L60" s="59"/>
      <c r="M60" s="59"/>
      <c r="N60" s="59"/>
      <c r="O60" s="59"/>
      <c r="P60" s="59"/>
      <c r="Q60" s="59"/>
      <c r="R60" s="59"/>
      <c r="S60" s="59"/>
      <c r="T60" s="59"/>
      <c r="U60" s="59"/>
      <c r="V60" s="59"/>
      <c r="W60" s="178"/>
      <c r="X60" s="183" t="s">
        <v>194</v>
      </c>
      <c r="Y60" s="184">
        <f>$AD$56/52.7</f>
        <v>54.648956356736242</v>
      </c>
      <c r="Z60" s="185">
        <f>$AD$56/8.66</f>
        <v>332.56351039260971</v>
      </c>
      <c r="AA60" s="186">
        <f>SQRT($Z$56*$AF$55/(1.1/3*AE56)*1000)</f>
        <v>61.561344842712884</v>
      </c>
      <c r="AB60" s="186">
        <f>IFERROR(ROUNDUP(IF(Y60&gt;AA60,(12*($AD$56)^2/3000*AA60^2)^(1/4),IF(Z60&lt;AA60,AA60,$AD$56/75.05+SQRT(($AD$56/75.05)^2+AA60^2/1.3))),0),"")</f>
        <v>105</v>
      </c>
      <c r="AC60" s="281">
        <f>ROUNDUP(SQRT(12)*AD56/150,0)</f>
        <v>67</v>
      </c>
      <c r="AD60" s="243"/>
      <c r="AE60" s="126"/>
      <c r="AF60" s="126"/>
      <c r="AG60" s="124"/>
      <c r="AH60" s="5"/>
      <c r="AI60" s="5"/>
      <c r="AJ60"/>
      <c r="AL60"/>
    </row>
    <row r="61" spans="1:43" s="7" customFormat="1" ht="17.100000000000001" customHeight="1">
      <c r="A61"/>
      <c r="B61" s="60" t="s">
        <v>536</v>
      </c>
      <c r="C61" s="60"/>
      <c r="D61" s="60"/>
      <c r="E61" s="60"/>
      <c r="F61" s="60"/>
      <c r="G61" s="60"/>
      <c r="H61" s="60"/>
      <c r="I61" s="60"/>
      <c r="J61" s="60"/>
      <c r="K61" s="60"/>
      <c r="L61" s="60"/>
      <c r="M61" s="60"/>
      <c r="N61" s="60"/>
      <c r="O61" s="60"/>
      <c r="P61" s="60"/>
      <c r="Q61" s="60"/>
      <c r="R61" s="60"/>
      <c r="S61" s="60"/>
      <c r="T61" s="60"/>
      <c r="U61" s="60"/>
      <c r="V61" s="59"/>
      <c r="W61" s="178"/>
      <c r="X61" s="126"/>
      <c r="Y61" s="126"/>
      <c r="Z61" s="126"/>
      <c r="AA61" s="126"/>
      <c r="AB61" s="126"/>
      <c r="AC61" s="126"/>
      <c r="AD61" s="126"/>
      <c r="AE61" s="126"/>
      <c r="AF61" s="126"/>
      <c r="AG61" s="126"/>
    </row>
    <row r="62" spans="1:43" ht="17.100000000000001" customHeight="1">
      <c r="A62" s="7"/>
      <c r="B62" s="714" t="s">
        <v>486</v>
      </c>
      <c r="C62" s="714"/>
      <c r="D62" s="714"/>
      <c r="E62" s="714"/>
      <c r="F62" s="714"/>
      <c r="G62" s="714"/>
      <c r="H62" s="714"/>
      <c r="I62" s="714"/>
      <c r="J62" s="714"/>
      <c r="K62" s="714"/>
      <c r="L62" s="714"/>
      <c r="M62" s="714"/>
      <c r="N62" s="714"/>
      <c r="O62" s="714"/>
      <c r="P62" s="714"/>
      <c r="Q62" s="714"/>
      <c r="R62" s="59"/>
      <c r="S62" s="715" t="s">
        <v>373</v>
      </c>
      <c r="T62" s="715"/>
      <c r="U62" s="715"/>
      <c r="V62" s="48"/>
      <c r="W62" s="311" t="b">
        <v>1</v>
      </c>
      <c r="X62" s="126"/>
      <c r="Y62" s="126"/>
      <c r="Z62" s="126"/>
      <c r="AA62" s="126"/>
      <c r="AB62" s="187"/>
      <c r="AC62" s="126"/>
      <c r="AD62" s="126"/>
      <c r="AE62" s="126"/>
      <c r="AF62" s="126"/>
      <c r="AG62" s="124"/>
      <c r="AH62" s="5"/>
      <c r="AI62" s="5"/>
      <c r="AJ62" s="7"/>
      <c r="AK62" s="7"/>
      <c r="AL62" s="7"/>
      <c r="AM62" s="7"/>
    </row>
    <row r="63" spans="1:43" ht="17.100000000000001" customHeight="1">
      <c r="A63" s="7"/>
      <c r="B63" s="203"/>
      <c r="C63" s="203"/>
      <c r="D63" s="203"/>
      <c r="E63" s="203"/>
      <c r="F63" s="203"/>
      <c r="G63" s="203"/>
      <c r="H63" s="203"/>
      <c r="I63" s="203"/>
      <c r="J63" s="203"/>
      <c r="K63" s="203"/>
      <c r="L63" s="203"/>
      <c r="M63" s="203"/>
      <c r="N63" s="203"/>
      <c r="O63" s="203"/>
      <c r="P63" s="203"/>
      <c r="Q63" s="202"/>
      <c r="R63" s="202"/>
      <c r="S63" s="202"/>
      <c r="T63" s="48"/>
      <c r="U63" s="48"/>
      <c r="V63" s="48"/>
      <c r="W63" s="311"/>
      <c r="X63" s="126"/>
      <c r="Y63" s="126"/>
      <c r="Z63" s="126"/>
      <c r="AA63" s="126"/>
      <c r="AB63" s="126"/>
      <c r="AC63" s="126"/>
      <c r="AD63" s="126"/>
      <c r="AE63" s="126"/>
      <c r="AF63" s="126"/>
      <c r="AG63" s="138"/>
      <c r="AH63" s="5"/>
      <c r="AI63" s="5"/>
      <c r="AJ63" s="7"/>
      <c r="AK63" s="7"/>
      <c r="AM63" s="7"/>
      <c r="AN63" s="7"/>
      <c r="AO63" s="7"/>
    </row>
    <row r="64" spans="1:43" ht="17.100000000000001" customHeight="1">
      <c r="B64" s="716" t="s">
        <v>332</v>
      </c>
      <c r="C64" s="716"/>
      <c r="D64" s="716"/>
      <c r="E64" s="716"/>
      <c r="F64" s="716"/>
      <c r="G64" s="716"/>
      <c r="H64" s="716"/>
      <c r="I64" s="716"/>
      <c r="J64" s="716"/>
      <c r="K64" s="716"/>
      <c r="L64" s="716"/>
      <c r="M64" s="716"/>
      <c r="N64" s="716"/>
      <c r="O64" s="716"/>
      <c r="P64" s="716"/>
      <c r="Q64" s="716"/>
      <c r="R64" s="716"/>
      <c r="S64" s="716"/>
      <c r="T64" s="716"/>
      <c r="U64" s="82"/>
      <c r="V64" s="48"/>
      <c r="W64" s="311"/>
      <c r="X64" s="126"/>
      <c r="Y64" s="126"/>
      <c r="Z64" s="126"/>
      <c r="AA64" s="126"/>
      <c r="AB64" s="126"/>
      <c r="AC64" s="126"/>
      <c r="AD64" s="126"/>
      <c r="AE64" s="126"/>
      <c r="AF64" s="126"/>
      <c r="AG64" s="138"/>
      <c r="AH64" s="5"/>
      <c r="AI64" s="5"/>
      <c r="AJ64" s="7"/>
      <c r="AK64" s="7"/>
      <c r="AL64" s="7"/>
    </row>
    <row r="65" spans="1:40" ht="17.100000000000001" customHeight="1">
      <c r="B65" s="44" t="s">
        <v>381</v>
      </c>
      <c r="C65" s="7"/>
      <c r="D65" s="7"/>
      <c r="E65" s="7"/>
      <c r="H65"/>
      <c r="I65" s="57" t="s">
        <v>373</v>
      </c>
      <c r="K65" s="4"/>
      <c r="L65" s="4"/>
      <c r="M65" s="4"/>
      <c r="N65" s="4"/>
      <c r="O65" s="4"/>
      <c r="P65" s="4"/>
      <c r="Q65" s="4"/>
      <c r="R65" s="4"/>
      <c r="S65" s="4"/>
      <c r="T65" s="4"/>
      <c r="U65" s="4"/>
      <c r="V65" s="82"/>
      <c r="W65" s="223"/>
      <c r="X65" s="126"/>
      <c r="Y65" s="126"/>
      <c r="Z65" s="126"/>
      <c r="AA65" s="126"/>
      <c r="AB65" s="126"/>
      <c r="AC65" s="126"/>
      <c r="AD65" s="126"/>
      <c r="AE65" s="126"/>
      <c r="AF65" s="126"/>
      <c r="AG65" s="138"/>
      <c r="AH65" s="11"/>
      <c r="AI65" s="5"/>
      <c r="AJ65" s="7"/>
      <c r="AK65" s="5"/>
      <c r="AL65" s="7"/>
    </row>
    <row r="66" spans="1:40" ht="17.100000000000001" customHeight="1" thickBot="1">
      <c r="A66" s="7"/>
      <c r="B66" s="717" t="s">
        <v>445</v>
      </c>
      <c r="C66" s="717"/>
      <c r="D66" s="717"/>
      <c r="E66" s="717"/>
      <c r="F66" s="717"/>
      <c r="G66" s="717"/>
      <c r="H66" s="717"/>
      <c r="I66" s="717"/>
      <c r="J66" s="717"/>
      <c r="K66" s="717"/>
      <c r="L66" s="717"/>
      <c r="M66" s="717"/>
      <c r="N66" s="717"/>
      <c r="O66" s="717"/>
      <c r="P66" s="717"/>
      <c r="Q66" s="717"/>
      <c r="R66" s="717"/>
      <c r="S66" s="717"/>
      <c r="T66" s="717"/>
      <c r="U66" s="228"/>
      <c r="V66" s="4"/>
      <c r="W66" s="224"/>
      <c r="X66" s="126"/>
      <c r="Y66" s="126"/>
      <c r="Z66" s="126"/>
      <c r="AA66" s="126"/>
      <c r="AB66" s="126"/>
      <c r="AC66" s="126"/>
      <c r="AD66" s="126"/>
      <c r="AE66" s="126"/>
      <c r="AF66" s="126"/>
      <c r="AG66" s="138"/>
      <c r="AH66" s="11"/>
      <c r="AI66" s="5"/>
      <c r="AJ66" s="5"/>
      <c r="AK66" s="5"/>
      <c r="AL66" s="7"/>
    </row>
    <row r="67" spans="1:40" ht="17.100000000000001" customHeight="1" thickBot="1">
      <c r="A67" s="49"/>
      <c r="B67" s="699" t="s">
        <v>259</v>
      </c>
      <c r="C67" s="718"/>
      <c r="D67" s="720" t="s">
        <v>201</v>
      </c>
      <c r="E67" s="721"/>
      <c r="F67" s="721"/>
      <c r="G67" s="721"/>
      <c r="H67" s="721"/>
      <c r="I67" s="721"/>
      <c r="J67" s="721"/>
      <c r="K67" s="721"/>
      <c r="L67" s="721"/>
      <c r="M67" s="721"/>
      <c r="N67" s="721"/>
      <c r="O67" s="721"/>
      <c r="P67" s="722"/>
      <c r="Q67" s="701" t="s">
        <v>200</v>
      </c>
      <c r="R67" s="723"/>
      <c r="S67" s="702"/>
      <c r="T67" s="702"/>
      <c r="U67" s="702"/>
      <c r="V67" s="703"/>
      <c r="W67" s="225"/>
      <c r="X67" s="169"/>
      <c r="Y67" s="126"/>
      <c r="Z67" s="126"/>
      <c r="AA67" s="126"/>
      <c r="AB67" s="126"/>
      <c r="AC67" s="126"/>
      <c r="AD67" s="126"/>
      <c r="AE67" s="126"/>
      <c r="AF67" s="126"/>
      <c r="AG67" s="138"/>
      <c r="AH67" s="5"/>
      <c r="AI67" s="5"/>
      <c r="AJ67" s="7"/>
      <c r="AL67" s="7"/>
    </row>
    <row r="68" spans="1:40" s="7" customFormat="1" ht="17.100000000000001" customHeight="1" thickBot="1">
      <c r="A68"/>
      <c r="B68" s="598"/>
      <c r="C68" s="719"/>
      <c r="D68" s="598" t="s">
        <v>226</v>
      </c>
      <c r="E68" s="599"/>
      <c r="F68" s="599"/>
      <c r="G68" s="599"/>
      <c r="H68" s="724"/>
      <c r="I68" s="725" t="s">
        <v>227</v>
      </c>
      <c r="J68" s="726"/>
      <c r="K68" s="727"/>
      <c r="L68" s="728" t="s">
        <v>258</v>
      </c>
      <c r="M68" s="729"/>
      <c r="N68" s="729"/>
      <c r="O68" s="729"/>
      <c r="P68" s="730"/>
      <c r="Q68" s="731" t="s">
        <v>487</v>
      </c>
      <c r="R68" s="732"/>
      <c r="S68" s="733"/>
      <c r="T68" s="734" t="s">
        <v>202</v>
      </c>
      <c r="U68" s="735"/>
      <c r="V68" s="736"/>
      <c r="W68" s="225"/>
      <c r="X68" s="169"/>
      <c r="Y68" s="188"/>
      <c r="Z68" s="189" t="s">
        <v>192</v>
      </c>
      <c r="AA68" s="190" t="s">
        <v>191</v>
      </c>
      <c r="AB68" s="191" t="s">
        <v>193</v>
      </c>
      <c r="AC68" s="191" t="s">
        <v>279</v>
      </c>
      <c r="AD68" s="192" t="s">
        <v>277</v>
      </c>
      <c r="AE68" s="177" t="s">
        <v>271</v>
      </c>
      <c r="AF68" s="126"/>
      <c r="AG68" s="138"/>
      <c r="AH68" s="5"/>
      <c r="AI68" s="5"/>
      <c r="AK68"/>
      <c r="AM68"/>
      <c r="AN68"/>
    </row>
    <row r="69" spans="1:40" s="7" customFormat="1" ht="17.100000000000001" customHeight="1">
      <c r="A69"/>
      <c r="B69" s="781" t="s">
        <v>23</v>
      </c>
      <c r="C69" s="63" t="s">
        <v>148</v>
      </c>
      <c r="D69" s="737" t="s">
        <v>293</v>
      </c>
      <c r="E69" s="738"/>
      <c r="F69" s="738"/>
      <c r="G69" s="738"/>
      <c r="H69" s="739"/>
      <c r="I69" s="740" t="s">
        <v>71</v>
      </c>
      <c r="J69" s="741"/>
      <c r="K69" s="742"/>
      <c r="L69" s="743" t="s">
        <v>49</v>
      </c>
      <c r="M69" s="738"/>
      <c r="N69" s="738"/>
      <c r="O69" s="738"/>
      <c r="P69" s="744"/>
      <c r="Q69" s="745">
        <f>IF($W$62=TRUE,IFERROR(VLOOKUP(D69&amp;I69&amp;L69,柱の圧縮基準強度!$A$4:$F$187,6,0),"該当なし"),"")</f>
        <v>20.399999999999999</v>
      </c>
      <c r="R69" s="746"/>
      <c r="S69" s="747"/>
      <c r="T69" s="748">
        <f t="shared" ref="T69:T76" si="2">IF($W$62=TRUE,IF(AC69="","",MAX(AC69:AD69)),"")</f>
        <v>81</v>
      </c>
      <c r="U69" s="749"/>
      <c r="V69" s="750"/>
      <c r="W69" s="225"/>
      <c r="X69" s="178"/>
      <c r="Y69" s="179" t="s">
        <v>167</v>
      </c>
      <c r="Z69" s="180">
        <f>$AD$55/52.7</f>
        <v>54.933586337760907</v>
      </c>
      <c r="AA69" s="181">
        <f>$AD$55/8.66</f>
        <v>334.29561200923786</v>
      </c>
      <c r="AB69" s="181">
        <f>SQRT($Z$55*$AF$55/(1.1/3*Q69)*1000)</f>
        <v>35.683486982318158</v>
      </c>
      <c r="AC69" s="181">
        <f>IFERROR(ROUNDUP(IF(Z69&gt;AB69,(12*($AD$55)^2/3000*AB69^2)^(1/4),IF(AA69&lt;AB69,AB69,$AD$55/75.05+SQRT(($AD$55/75.05)^2+AB69^2/1.3))),0),"")</f>
        <v>81</v>
      </c>
      <c r="AD69" s="181">
        <f>ROUNDUP(SQRT(12)*$AD$55/150,0)</f>
        <v>67</v>
      </c>
      <c r="AE69" s="339" t="str">
        <f t="shared" ref="AE69:AE76" si="3">IF($D69="JAS機械等級区分構造用製材","機械",IF($D69="JAS目視等級区分構造用製材", "目視",IF($D69="無等級材","無等級",IF($D69="JAS同一等級構成集成材","集成材","LVL"))))</f>
        <v>目視</v>
      </c>
      <c r="AF69" s="126"/>
      <c r="AG69" s="138"/>
      <c r="AH69" s="5"/>
      <c r="AI69" s="5"/>
      <c r="AJ69" s="5"/>
      <c r="AK69"/>
      <c r="AM69"/>
      <c r="AN69"/>
    </row>
    <row r="70" spans="1:40" s="7" customFormat="1" ht="17.100000000000001" customHeight="1">
      <c r="A70"/>
      <c r="B70" s="782"/>
      <c r="C70" s="64" t="s">
        <v>149</v>
      </c>
      <c r="D70" s="751" t="s">
        <v>231</v>
      </c>
      <c r="E70" s="752"/>
      <c r="F70" s="752"/>
      <c r="G70" s="752"/>
      <c r="H70" s="753"/>
      <c r="I70" s="754" t="s">
        <v>294</v>
      </c>
      <c r="J70" s="755"/>
      <c r="K70" s="756"/>
      <c r="L70" s="783" t="s">
        <v>627</v>
      </c>
      <c r="M70" s="752"/>
      <c r="N70" s="752"/>
      <c r="O70" s="752"/>
      <c r="P70" s="784"/>
      <c r="Q70" s="772">
        <f>IF($W$62=TRUE,IFERROR(VLOOKUP(D70&amp;I70&amp;L70,柱の圧縮基準強度!$A$4:$F$187,6,0),"該当なし"),"")</f>
        <v>26</v>
      </c>
      <c r="R70" s="773"/>
      <c r="S70" s="774"/>
      <c r="T70" s="775">
        <f t="shared" si="2"/>
        <v>77</v>
      </c>
      <c r="U70" s="776"/>
      <c r="V70" s="777"/>
      <c r="W70" s="225"/>
      <c r="X70" s="178"/>
      <c r="Y70" s="193" t="s">
        <v>197</v>
      </c>
      <c r="Z70" s="194">
        <f>$AD$55/52.7</f>
        <v>54.933586337760907</v>
      </c>
      <c r="AA70" s="195">
        <f>$AD$55/8.66</f>
        <v>334.29561200923786</v>
      </c>
      <c r="AB70" s="195">
        <f>SQRT($Z$55*$AF$55/(1.1/3*Q70)*1000)</f>
        <v>31.607903929745348</v>
      </c>
      <c r="AC70" s="195">
        <f>IFERROR(ROUNDUP(IF(Z70&gt;AB70,(12*$AD$55^2/3000*AB70^2)^(1/4),IF(AA70&lt;AB70,AB70,$AD$55/75.05+SQRT(($AD$55/75.05)^2+AB70^2/1.3))),0),"")</f>
        <v>77</v>
      </c>
      <c r="AD70" s="195">
        <f>ROUNDUP(SQRT(12)*$AD$55/150,0)</f>
        <v>67</v>
      </c>
      <c r="AE70" s="339" t="str">
        <f t="shared" si="3"/>
        <v>集成材</v>
      </c>
      <c r="AF70" s="126"/>
      <c r="AG70" s="138"/>
      <c r="AH70"/>
      <c r="AI70" s="5"/>
      <c r="AJ70" s="5"/>
      <c r="AK70"/>
    </row>
    <row r="71" spans="1:40" s="7" customFormat="1" ht="17.100000000000001" customHeight="1">
      <c r="A71"/>
      <c r="B71" s="782"/>
      <c r="C71" s="64" t="s">
        <v>154</v>
      </c>
      <c r="D71" s="751"/>
      <c r="E71" s="752"/>
      <c r="F71" s="752"/>
      <c r="G71" s="752"/>
      <c r="H71" s="753"/>
      <c r="I71" s="754"/>
      <c r="J71" s="755"/>
      <c r="K71" s="756"/>
      <c r="L71" s="783"/>
      <c r="M71" s="752"/>
      <c r="N71" s="752"/>
      <c r="O71" s="752"/>
      <c r="P71" s="784"/>
      <c r="Q71" s="772" t="str">
        <f>IF($W$62=TRUE,IFERROR(VLOOKUP(D71&amp;I71&amp;L71,柱の圧縮基準強度!$A$4:$F$187,6,0),"該当なし"),"")</f>
        <v>該当なし</v>
      </c>
      <c r="R71" s="773"/>
      <c r="S71" s="774"/>
      <c r="T71" s="775" t="str">
        <f t="shared" si="2"/>
        <v/>
      </c>
      <c r="U71" s="776"/>
      <c r="V71" s="777"/>
      <c r="W71" s="225"/>
      <c r="X71" s="178"/>
      <c r="Y71" s="193" t="s">
        <v>199</v>
      </c>
      <c r="Z71" s="194">
        <f>$AD$55/52.7</f>
        <v>54.933586337760907</v>
      </c>
      <c r="AA71" s="195">
        <f>$AD$55/8.66</f>
        <v>334.29561200923786</v>
      </c>
      <c r="AB71" s="195" t="e">
        <f>SQRT($Z$55*$AF$55/(1.1/3*Q71)*1000)</f>
        <v>#VALUE!</v>
      </c>
      <c r="AC71" s="195" t="str">
        <f>IFERROR(ROUNDUP(IF(Z71&gt;AB71,(12*($AD$55)^2/3000*AB71^2)^(1/4),IF(AA71&lt;AB71,AB71,$AD$55/75.05+SQRT(($AD$55/75.05)^2+AB71^2/1.3))),0),"")</f>
        <v/>
      </c>
      <c r="AD71" s="195">
        <f>ROUNDUP(SQRT(12)*$AD$55/150,0)</f>
        <v>67</v>
      </c>
      <c r="AE71" s="339" t="str">
        <f t="shared" si="3"/>
        <v>LVL</v>
      </c>
      <c r="AF71" s="126"/>
      <c r="AG71" s="138"/>
      <c r="AH71" s="5"/>
      <c r="AI71" s="5"/>
      <c r="AJ71" s="5"/>
      <c r="AK71"/>
      <c r="AL71"/>
      <c r="AM71"/>
    </row>
    <row r="72" spans="1:40" s="7" customFormat="1" ht="17.100000000000001" customHeight="1" thickBot="1">
      <c r="A72"/>
      <c r="B72" s="782"/>
      <c r="C72" s="65" t="s">
        <v>155</v>
      </c>
      <c r="D72" s="757" t="s">
        <v>460</v>
      </c>
      <c r="E72" s="758"/>
      <c r="F72" s="758"/>
      <c r="G72" s="758"/>
      <c r="H72" s="758"/>
      <c r="I72" s="758"/>
      <c r="J72" s="758"/>
      <c r="K72" s="759"/>
      <c r="L72" s="760" t="s">
        <v>298</v>
      </c>
      <c r="M72" s="761"/>
      <c r="N72" s="761"/>
      <c r="O72" s="761"/>
      <c r="P72" s="762"/>
      <c r="Q72" s="766"/>
      <c r="R72" s="767"/>
      <c r="S72" s="768"/>
      <c r="T72" s="769" t="str">
        <f t="shared" si="2"/>
        <v/>
      </c>
      <c r="U72" s="770"/>
      <c r="V72" s="771"/>
      <c r="W72" s="225"/>
      <c r="X72" s="178"/>
      <c r="Y72" s="193" t="s">
        <v>288</v>
      </c>
      <c r="Z72" s="194">
        <f>$AD$55/52.7</f>
        <v>54.933586337760907</v>
      </c>
      <c r="AA72" s="195">
        <f>$AD$55/8.66</f>
        <v>334.29561200923786</v>
      </c>
      <c r="AB72" s="195" t="e">
        <f>SQRT($Z$55*$AF$55/(1.1/3*Q72)*1000)</f>
        <v>#DIV/0!</v>
      </c>
      <c r="AC72" s="195" t="str">
        <f>IFERROR(ROUNDUP(IF(Z72&gt;AB72,(12*$AD$55^2/3000*AB72^2)^(1/4),IF(AA72&lt;AB72,AB72,$AD$55/75.05+SQRT(($AD$55/75.05)^2+AB72^2/1.3))),0),"")</f>
        <v/>
      </c>
      <c r="AD72" s="195">
        <f>ROUNDUP(SQRT(12)*$AD$55/150,0)</f>
        <v>67</v>
      </c>
      <c r="AE72" s="339" t="str">
        <f t="shared" si="3"/>
        <v>LVL</v>
      </c>
      <c r="AF72" s="126"/>
      <c r="AG72" s="138"/>
      <c r="AH72" s="5"/>
      <c r="AI72" s="5"/>
      <c r="AJ72" s="5"/>
      <c r="AK72"/>
      <c r="AL72"/>
    </row>
    <row r="73" spans="1:40" ht="17.100000000000001" customHeight="1">
      <c r="B73" s="699" t="s">
        <v>22</v>
      </c>
      <c r="C73" s="63" t="s">
        <v>148</v>
      </c>
      <c r="D73" s="737" t="s">
        <v>293</v>
      </c>
      <c r="E73" s="738"/>
      <c r="F73" s="738"/>
      <c r="G73" s="738"/>
      <c r="H73" s="739"/>
      <c r="I73" s="740" t="s">
        <v>71</v>
      </c>
      <c r="J73" s="741"/>
      <c r="K73" s="742"/>
      <c r="L73" s="743" t="s">
        <v>49</v>
      </c>
      <c r="M73" s="738"/>
      <c r="N73" s="738"/>
      <c r="O73" s="738"/>
      <c r="P73" s="744"/>
      <c r="Q73" s="778">
        <f>IF($W$62=TRUE,IFERROR(VLOOKUP(D73&amp;I73&amp;L73,柱の圧縮基準強度!$A$4:$F$187,6,0),"該当なし"),"")</f>
        <v>20.399999999999999</v>
      </c>
      <c r="R73" s="779"/>
      <c r="S73" s="780"/>
      <c r="T73" s="748">
        <f t="shared" si="2"/>
        <v>102</v>
      </c>
      <c r="U73" s="749"/>
      <c r="V73" s="750"/>
      <c r="W73" s="225"/>
      <c r="X73" s="178"/>
      <c r="Y73" s="193" t="s">
        <v>194</v>
      </c>
      <c r="Z73" s="194">
        <f>$AD$56/52.7</f>
        <v>54.648956356736242</v>
      </c>
      <c r="AA73" s="195">
        <f>$AD$56/8.66</f>
        <v>332.56351039260971</v>
      </c>
      <c r="AB73" s="195">
        <f>SQRT($Z$56*$AF$55/(1.1/3*Q73)*1000)</f>
        <v>57.342899395263522</v>
      </c>
      <c r="AC73" s="195">
        <f>IFERROR(ROUNDUP(IF(Z73&gt;AB73,(12*($AD$56)^2/3000*AB73^2)^(1/4),IF(AA73&lt;AB73,AB73,$AD$56/75.05+SQRT(($AD$56/75.05)^2+AB73^2/1.3))),0),"")</f>
        <v>102</v>
      </c>
      <c r="AD73" s="195">
        <f>ROUNDUP(SQRT(12)*$AD$56/150,0)</f>
        <v>67</v>
      </c>
      <c r="AE73" s="339" t="str">
        <f t="shared" si="3"/>
        <v>目視</v>
      </c>
      <c r="AF73" s="126"/>
      <c r="AG73" s="124"/>
      <c r="AH73" s="5"/>
      <c r="AI73" s="5"/>
      <c r="AJ73" s="5"/>
      <c r="AM73" s="7"/>
      <c r="AN73" s="7"/>
    </row>
    <row r="74" spans="1:40" ht="17.100000000000001" customHeight="1">
      <c r="B74" s="596"/>
      <c r="C74" s="64" t="s">
        <v>149</v>
      </c>
      <c r="D74" s="751" t="s">
        <v>231</v>
      </c>
      <c r="E74" s="752"/>
      <c r="F74" s="752"/>
      <c r="G74" s="752"/>
      <c r="H74" s="753"/>
      <c r="I74" s="754" t="s">
        <v>294</v>
      </c>
      <c r="J74" s="755"/>
      <c r="K74" s="756"/>
      <c r="L74" s="783" t="s">
        <v>627</v>
      </c>
      <c r="M74" s="752"/>
      <c r="N74" s="752"/>
      <c r="O74" s="752"/>
      <c r="P74" s="784"/>
      <c r="Q74" s="772">
        <f>IF($W$62=TRUE,IFERROR(VLOOKUP(D74&amp;I74&amp;L74,柱の圧縮基準強度!$A$4:$F$187,6,0),"該当なし"),"")</f>
        <v>26</v>
      </c>
      <c r="R74" s="773"/>
      <c r="S74" s="774"/>
      <c r="T74" s="775">
        <f t="shared" si="2"/>
        <v>97</v>
      </c>
      <c r="U74" s="776"/>
      <c r="V74" s="777"/>
      <c r="W74" s="225"/>
      <c r="X74" s="178"/>
      <c r="Y74" s="193" t="s">
        <v>195</v>
      </c>
      <c r="Z74" s="194">
        <f>$AD$56/52.7</f>
        <v>54.648956356736242</v>
      </c>
      <c r="AA74" s="195">
        <f>$AD$56/8.66</f>
        <v>332.56351039260971</v>
      </c>
      <c r="AB74" s="195">
        <f>SQRT($Z$56*$AF$55/(1.1/3*Q74)*1000)</f>
        <v>50.793490446622116</v>
      </c>
      <c r="AC74" s="195">
        <f>IFERROR(ROUNDUP(IF(Z74&gt;AB74,(12*($AD$56)^2/3000*AB74^2)^(1/4),IF(AA74&lt;AB74,AB74,$AD$56/75.05+SQRT(($AD$56/75.05)^2+AB74^2/1.3))),0),"")</f>
        <v>97</v>
      </c>
      <c r="AD74" s="195">
        <f>ROUNDUP(SQRT(12)*$AD$56/150,0)</f>
        <v>67</v>
      </c>
      <c r="AE74" s="339" t="str">
        <f t="shared" si="3"/>
        <v>集成材</v>
      </c>
      <c r="AF74" s="126"/>
      <c r="AG74" s="124"/>
      <c r="AI74" s="5"/>
      <c r="AJ74" s="5"/>
      <c r="AM74" s="7"/>
      <c r="AN74" s="7"/>
    </row>
    <row r="75" spans="1:40" ht="17.100000000000001" customHeight="1">
      <c r="B75" s="596"/>
      <c r="C75" s="64" t="s">
        <v>154</v>
      </c>
      <c r="D75" s="751"/>
      <c r="E75" s="752"/>
      <c r="F75" s="752"/>
      <c r="G75" s="752"/>
      <c r="H75" s="753"/>
      <c r="I75" s="754"/>
      <c r="J75" s="755"/>
      <c r="K75" s="756"/>
      <c r="L75" s="783"/>
      <c r="M75" s="752"/>
      <c r="N75" s="752"/>
      <c r="O75" s="752"/>
      <c r="P75" s="784"/>
      <c r="Q75" s="772" t="str">
        <f>IF($W$62=TRUE,IFERROR(VLOOKUP(D75&amp;I75&amp;L75,柱の圧縮基準強度!$A$4:$F$187,6,0),"該当なし"),"")</f>
        <v>該当なし</v>
      </c>
      <c r="R75" s="773"/>
      <c r="S75" s="774"/>
      <c r="T75" s="775" t="str">
        <f t="shared" si="2"/>
        <v/>
      </c>
      <c r="U75" s="776"/>
      <c r="V75" s="777"/>
      <c r="W75" s="178"/>
      <c r="X75" s="178"/>
      <c r="Y75" s="193" t="s">
        <v>198</v>
      </c>
      <c r="Z75" s="194">
        <f>$AD$56/52.7</f>
        <v>54.648956356736242</v>
      </c>
      <c r="AA75" s="195">
        <f>$AD$56/8.66</f>
        <v>332.56351039260971</v>
      </c>
      <c r="AB75" s="195" t="e">
        <f>SQRT($Z$56*$AF$55/(1.1/3*Q75)*1000)</f>
        <v>#VALUE!</v>
      </c>
      <c r="AC75" s="195" t="str">
        <f>IFERROR(ROUNDUP(IF(Z75&gt;AB75,(12*($AD$56)^2/3000*AB75^2)^(1/4),IF(AA75&lt;AB75,AB75,$AD$56/75.05+SQRT(($AD$56/75.05)^2+AB75^2/1.3))),0),"")</f>
        <v/>
      </c>
      <c r="AD75" s="195">
        <f>ROUNDUP(SQRT(12)*$AD$56/150,0)</f>
        <v>67</v>
      </c>
      <c r="AE75" s="339" t="str">
        <f t="shared" si="3"/>
        <v>LVL</v>
      </c>
      <c r="AF75" s="126"/>
      <c r="AG75" s="124"/>
      <c r="AH75" s="5"/>
      <c r="AI75" s="5"/>
      <c r="AJ75" s="5"/>
      <c r="AM75" s="7"/>
      <c r="AN75" s="7"/>
    </row>
    <row r="76" spans="1:40" ht="17.100000000000001" customHeight="1" thickBot="1">
      <c r="B76" s="598"/>
      <c r="C76" s="66" t="s">
        <v>155</v>
      </c>
      <c r="D76" s="757" t="s">
        <v>460</v>
      </c>
      <c r="E76" s="758"/>
      <c r="F76" s="758"/>
      <c r="G76" s="758"/>
      <c r="H76" s="758"/>
      <c r="I76" s="758"/>
      <c r="J76" s="758"/>
      <c r="K76" s="759"/>
      <c r="L76" s="760" t="s">
        <v>298</v>
      </c>
      <c r="M76" s="761"/>
      <c r="N76" s="761"/>
      <c r="O76" s="761"/>
      <c r="P76" s="762"/>
      <c r="Q76" s="763"/>
      <c r="R76" s="764"/>
      <c r="S76" s="765"/>
      <c r="T76" s="769" t="str">
        <f t="shared" si="2"/>
        <v/>
      </c>
      <c r="U76" s="770"/>
      <c r="V76" s="771"/>
      <c r="W76" s="178"/>
      <c r="X76" s="178"/>
      <c r="Y76" s="196" t="s">
        <v>198</v>
      </c>
      <c r="Z76" s="197">
        <f>$AD$56/52.7</f>
        <v>54.648956356736242</v>
      </c>
      <c r="AA76" s="198">
        <f>$AD$56/8.66</f>
        <v>332.56351039260971</v>
      </c>
      <c r="AB76" s="198" t="e">
        <f>SQRT($Z$56*$AF$55/(1.1/3*Q76)*1000)</f>
        <v>#DIV/0!</v>
      </c>
      <c r="AC76" s="198" t="str">
        <f>IFERROR(ROUNDUP(IF(Z76&gt;AB76,(12*($AD$56)^2/3000*AB76^2)^(1/4),IF(AA76&lt;AB76,AB76,$AD$56/75.05+SQRT(($AD$56/75.05)^2+AB76^2/1.3))),0),"")</f>
        <v/>
      </c>
      <c r="AD76" s="198">
        <f>ROUNDUP(SQRT(12)*$AD$56/150,0)</f>
        <v>67</v>
      </c>
      <c r="AE76" s="339" t="str">
        <f t="shared" si="3"/>
        <v>LVL</v>
      </c>
      <c r="AF76" s="126"/>
      <c r="AG76" s="124"/>
      <c r="AH76" s="5"/>
      <c r="AI76" s="5"/>
    </row>
    <row r="77" spans="1:40" ht="17.100000000000001" customHeight="1" thickBot="1">
      <c r="B77" s="61"/>
      <c r="C77" s="62"/>
      <c r="D77" s="62"/>
      <c r="E77" s="62"/>
      <c r="F77" s="62"/>
      <c r="G77" s="62"/>
      <c r="H77" s="62"/>
      <c r="I77" s="62"/>
      <c r="J77" s="62"/>
      <c r="K77" s="62"/>
      <c r="L77" s="62"/>
      <c r="M77" s="62"/>
      <c r="N77" s="62"/>
      <c r="O77" s="62"/>
      <c r="P77" s="62"/>
      <c r="Q77" s="62"/>
      <c r="R77" s="62"/>
      <c r="S77" s="62"/>
      <c r="T77" s="62"/>
      <c r="U77" s="62"/>
      <c r="V77" s="62"/>
      <c r="W77" s="199" t="b">
        <v>1</v>
      </c>
      <c r="X77" s="126"/>
      <c r="Y77" s="126"/>
      <c r="Z77" s="126"/>
      <c r="AA77" s="126"/>
      <c r="AB77" s="126"/>
      <c r="AC77" s="126"/>
      <c r="AD77" s="126"/>
      <c r="AE77" s="126"/>
      <c r="AF77" s="126"/>
      <c r="AG77" s="124"/>
      <c r="AH77" s="5"/>
      <c r="AI77" s="5"/>
    </row>
    <row r="78" spans="1:40" ht="17.100000000000001" customHeight="1" thickBot="1">
      <c r="B78" s="785" t="s">
        <v>333</v>
      </c>
      <c r="C78" s="785"/>
      <c r="D78" s="785"/>
      <c r="E78" s="785"/>
      <c r="F78" s="785"/>
      <c r="G78" s="785"/>
      <c r="H78" s="785"/>
      <c r="I78" s="785"/>
      <c r="J78" s="785"/>
      <c r="K78" s="785"/>
      <c r="L78" s="785"/>
      <c r="M78" s="785"/>
      <c r="N78" s="785"/>
      <c r="O78" s="785"/>
      <c r="P78" s="785"/>
      <c r="Q78" s="785"/>
      <c r="R78" s="785"/>
      <c r="S78" s="785"/>
      <c r="T78" s="785"/>
      <c r="U78" s="83"/>
      <c r="V78" s="83"/>
      <c r="W78" s="311"/>
      <c r="X78" s="313"/>
      <c r="Y78" s="314"/>
      <c r="Z78" s="189" t="s">
        <v>32</v>
      </c>
      <c r="AA78" s="315" t="s">
        <v>33</v>
      </c>
      <c r="AB78" s="315" t="s">
        <v>205</v>
      </c>
      <c r="AC78" s="316" t="s">
        <v>209</v>
      </c>
      <c r="AD78" s="126"/>
      <c r="AE78" s="126"/>
      <c r="AF78" s="126"/>
      <c r="AG78" s="124"/>
      <c r="AH78" s="5"/>
      <c r="AJ78" s="7"/>
      <c r="AK78" s="7"/>
    </row>
    <row r="79" spans="1:40" ht="17.100000000000001" customHeight="1">
      <c r="B79" s="44" t="s">
        <v>381</v>
      </c>
      <c r="C79" s="7"/>
      <c r="D79" s="7"/>
      <c r="E79" s="7"/>
      <c r="H79"/>
      <c r="I79" s="57" t="s">
        <v>373</v>
      </c>
      <c r="K79" s="4"/>
      <c r="L79" s="4"/>
      <c r="M79" s="4"/>
      <c r="N79" s="4"/>
      <c r="O79" s="4"/>
      <c r="P79" s="4"/>
      <c r="Q79" s="4"/>
      <c r="R79" s="4"/>
      <c r="S79" s="4"/>
      <c r="T79" s="4"/>
      <c r="U79" s="4"/>
      <c r="V79" s="4"/>
      <c r="W79" s="311"/>
      <c r="X79" s="788" t="s">
        <v>23</v>
      </c>
      <c r="Y79" s="144" t="s">
        <v>210</v>
      </c>
      <c r="Z79" s="214">
        <f>O85</f>
        <v>105</v>
      </c>
      <c r="AA79" s="340">
        <f>Q85</f>
        <v>120</v>
      </c>
      <c r="AB79" s="340">
        <f>MIN(S85:T85)</f>
        <v>105</v>
      </c>
      <c r="AC79" s="341">
        <f>MIN(U85:V85)</f>
        <v>0</v>
      </c>
      <c r="AD79" s="126"/>
      <c r="AE79" s="126"/>
      <c r="AF79" s="126"/>
      <c r="AG79" s="124"/>
      <c r="AH79" s="7"/>
      <c r="AI79" s="7"/>
      <c r="AJ79" s="7"/>
      <c r="AK79" s="7"/>
    </row>
    <row r="80" spans="1:40" ht="17.100000000000001" customHeight="1">
      <c r="A80" s="7"/>
      <c r="B80" t="s">
        <v>446</v>
      </c>
      <c r="C80" s="56"/>
      <c r="D80" s="56"/>
      <c r="E80" s="56"/>
      <c r="F80" s="7"/>
      <c r="H80"/>
      <c r="I80"/>
      <c r="S80"/>
      <c r="T80" s="67"/>
      <c r="U80" s="67"/>
      <c r="V80" s="67"/>
      <c r="W80" s="311"/>
      <c r="X80" s="789"/>
      <c r="Y80" s="148" t="s">
        <v>207</v>
      </c>
      <c r="Z80" s="215">
        <f>3.46*($H$15*1000-105)/Z79</f>
        <v>95.397142857142867</v>
      </c>
      <c r="AA80" s="159">
        <f>3.46*($H$15*1000-105)/AA79</f>
        <v>83.472500000000011</v>
      </c>
      <c r="AB80" s="159">
        <f>3.46*($H$15*1000-105)/AB79</f>
        <v>95.397142857142867</v>
      </c>
      <c r="AC80" s="150" t="e">
        <f>3.46*($H$15*1000-105)/AC79</f>
        <v>#DIV/0!</v>
      </c>
      <c r="AD80" s="126"/>
      <c r="AE80" s="126"/>
      <c r="AF80" s="126"/>
      <c r="AG80" s="124"/>
      <c r="AH80" s="7"/>
      <c r="AI80" s="7"/>
      <c r="AJ80" s="5"/>
      <c r="AK80" s="5"/>
    </row>
    <row r="81" spans="1:37" ht="17.100000000000001" customHeight="1" thickBot="1">
      <c r="A81" s="7"/>
      <c r="B81" s="68" t="s">
        <v>280</v>
      </c>
      <c r="C81" s="56"/>
      <c r="D81" s="56"/>
      <c r="E81" s="56"/>
      <c r="F81" s="2"/>
      <c r="H81"/>
      <c r="I81"/>
      <c r="S81"/>
      <c r="T81" s="67"/>
      <c r="U81" s="67"/>
      <c r="V81" s="67"/>
      <c r="W81" s="323"/>
      <c r="X81" s="789"/>
      <c r="Y81" s="320" t="s">
        <v>208</v>
      </c>
      <c r="Z81" s="321">
        <f>IF(Z80&lt;=30,1,IF(Z80&gt;100,3000/(Z80)^2,1.3-0.01*Z80))</f>
        <v>0.34602857142857135</v>
      </c>
      <c r="AA81" s="322">
        <f t="shared" ref="AA81" si="4">IF(AA80&lt;=30,1,IF(AA80&gt;100,3000/(AA80)^2,1.3-0.01*AA80))</f>
        <v>0.46527499999999988</v>
      </c>
      <c r="AB81" s="322">
        <f>IF(AB80&lt;=30,1,IF(AB80&gt;100,3000/(AB80)^2,1.3-0.01*AB80))</f>
        <v>0.34602857142857135</v>
      </c>
      <c r="AC81" s="156" t="e">
        <f>IF(AC80&lt;=30,1,IF(AC80&gt;100,3000/(AC80)^2,1.3-0.01*AC80))</f>
        <v>#DIV/0!</v>
      </c>
      <c r="AD81" s="126"/>
      <c r="AE81" s="126"/>
      <c r="AF81" s="126"/>
      <c r="AG81" s="126"/>
      <c r="AH81" s="5"/>
      <c r="AI81" s="5"/>
      <c r="AJ81" s="7"/>
      <c r="AK81" s="7"/>
    </row>
    <row r="82" spans="1:37" ht="17.100000000000001" customHeight="1" thickBot="1">
      <c r="B82" s="799" t="s">
        <v>259</v>
      </c>
      <c r="C82" s="800"/>
      <c r="D82" s="720" t="s">
        <v>201</v>
      </c>
      <c r="E82" s="721"/>
      <c r="F82" s="721"/>
      <c r="G82" s="721"/>
      <c r="H82" s="721"/>
      <c r="I82" s="721"/>
      <c r="J82" s="721"/>
      <c r="K82" s="721"/>
      <c r="L82" s="722"/>
      <c r="M82" s="720" t="s">
        <v>369</v>
      </c>
      <c r="N82" s="721"/>
      <c r="O82" s="721"/>
      <c r="P82" s="721"/>
      <c r="Q82" s="721"/>
      <c r="R82" s="721"/>
      <c r="S82" s="721"/>
      <c r="T82" s="721"/>
      <c r="U82" s="721"/>
      <c r="V82" s="722"/>
      <c r="W82" s="169"/>
      <c r="X82" s="790"/>
      <c r="Y82" s="324" t="s">
        <v>277</v>
      </c>
      <c r="Z82" s="216" t="str">
        <f>IF(($H$15-0.105)*1000/O85&lt;=43.3,"","有効細長比150以上")</f>
        <v/>
      </c>
      <c r="AA82" s="325" t="str">
        <f>IF(($H$15-0.105)*1000/Q85&lt;=43.3,"","有効細長比150以上")</f>
        <v/>
      </c>
      <c r="AB82" s="325" t="str">
        <f>IF(($H$15-0.105)*1000/MIN(S85:T85)&lt;=43.3,"","有効細長比150以上")</f>
        <v/>
      </c>
      <c r="AC82" s="161" t="e">
        <f>IF(($H$15-0.105)*1000/MIN(U85:V85)&lt;=43.3,"","有効細長比150以上")</f>
        <v>#DIV/0!</v>
      </c>
      <c r="AD82" s="126"/>
      <c r="AE82" s="126"/>
      <c r="AF82" s="126"/>
      <c r="AG82" s="138"/>
      <c r="AH82" s="5"/>
      <c r="AI82" s="7"/>
      <c r="AJ82" s="7"/>
      <c r="AK82" s="7"/>
    </row>
    <row r="83" spans="1:37" ht="17.45" customHeight="1">
      <c r="B83" s="801"/>
      <c r="C83" s="802"/>
      <c r="D83" s="805" t="s">
        <v>226</v>
      </c>
      <c r="E83" s="806"/>
      <c r="F83" s="806"/>
      <c r="G83" s="807"/>
      <c r="H83" s="809" t="s">
        <v>196</v>
      </c>
      <c r="I83" s="810"/>
      <c r="J83" s="815" t="s">
        <v>47</v>
      </c>
      <c r="K83" s="806"/>
      <c r="L83" s="816"/>
      <c r="M83" s="820" t="s">
        <v>404</v>
      </c>
      <c r="N83" s="821"/>
      <c r="O83" s="826" t="s">
        <v>32</v>
      </c>
      <c r="P83" s="827"/>
      <c r="Q83" s="826" t="s">
        <v>33</v>
      </c>
      <c r="R83" s="827"/>
      <c r="S83" s="786" t="s">
        <v>205</v>
      </c>
      <c r="T83" s="786"/>
      <c r="U83" s="786" t="s">
        <v>206</v>
      </c>
      <c r="V83" s="787"/>
      <c r="W83" s="226"/>
      <c r="X83" s="788" t="s">
        <v>22</v>
      </c>
      <c r="Y83" s="317" t="s">
        <v>210</v>
      </c>
      <c r="Z83" s="274">
        <f>O85</f>
        <v>105</v>
      </c>
      <c r="AA83" s="318">
        <f>Q85</f>
        <v>120</v>
      </c>
      <c r="AB83" s="318">
        <f>MIN(S85:T85)</f>
        <v>105</v>
      </c>
      <c r="AC83" s="319">
        <f>MIN(U85:V85)</f>
        <v>0</v>
      </c>
      <c r="AD83" s="126"/>
      <c r="AE83" s="126"/>
      <c r="AF83" s="126"/>
      <c r="AG83" s="124"/>
      <c r="AH83" s="5"/>
      <c r="AI83" s="7"/>
      <c r="AJ83" s="7"/>
    </row>
    <row r="84" spans="1:37" ht="36.6" customHeight="1">
      <c r="B84" s="801"/>
      <c r="C84" s="802"/>
      <c r="D84" s="596"/>
      <c r="E84" s="597"/>
      <c r="F84" s="597"/>
      <c r="G84" s="808"/>
      <c r="H84" s="811"/>
      <c r="I84" s="812"/>
      <c r="J84" s="817"/>
      <c r="K84" s="597"/>
      <c r="L84" s="818"/>
      <c r="M84" s="822"/>
      <c r="N84" s="823"/>
      <c r="O84" s="791" t="s">
        <v>260</v>
      </c>
      <c r="P84" s="792"/>
      <c r="Q84" s="791" t="s">
        <v>260</v>
      </c>
      <c r="R84" s="792"/>
      <c r="S84" s="69" t="s">
        <v>203</v>
      </c>
      <c r="T84" s="69" t="s">
        <v>204</v>
      </c>
      <c r="U84" s="69" t="s">
        <v>203</v>
      </c>
      <c r="V84" s="70" t="s">
        <v>204</v>
      </c>
      <c r="W84" s="169"/>
      <c r="X84" s="789"/>
      <c r="Y84" s="148" t="s">
        <v>207</v>
      </c>
      <c r="Z84" s="215">
        <f>3.46*($H$16*1000-120)/Z83</f>
        <v>94.90285714285713</v>
      </c>
      <c r="AA84" s="159">
        <f>3.46*($H$16*1000-120)/AA83</f>
        <v>83.039999999999992</v>
      </c>
      <c r="AB84" s="159">
        <f>3.46*($H$16*1000-120)/AB83</f>
        <v>94.90285714285713</v>
      </c>
      <c r="AC84" s="150" t="e">
        <f>3.46*($H$16*1000-120)/AC83</f>
        <v>#DIV/0!</v>
      </c>
      <c r="AD84" s="126"/>
      <c r="AE84" s="126"/>
      <c r="AF84" s="126"/>
      <c r="AG84" s="124"/>
      <c r="AH84" s="5"/>
      <c r="AI84" s="7"/>
    </row>
    <row r="85" spans="1:37" ht="18" customHeight="1" thickBot="1">
      <c r="B85" s="803"/>
      <c r="C85" s="804"/>
      <c r="D85" s="598"/>
      <c r="E85" s="599"/>
      <c r="F85" s="599"/>
      <c r="G85" s="724"/>
      <c r="H85" s="813"/>
      <c r="I85" s="814"/>
      <c r="J85" s="819"/>
      <c r="K85" s="599"/>
      <c r="L85" s="719"/>
      <c r="M85" s="824"/>
      <c r="N85" s="825"/>
      <c r="O85" s="793">
        <v>105</v>
      </c>
      <c r="P85" s="794"/>
      <c r="Q85" s="793">
        <v>120</v>
      </c>
      <c r="R85" s="794"/>
      <c r="S85" s="21">
        <v>210</v>
      </c>
      <c r="T85" s="21">
        <v>105</v>
      </c>
      <c r="U85" s="21"/>
      <c r="V85" s="22"/>
      <c r="W85" s="227"/>
      <c r="X85" s="789"/>
      <c r="Y85" s="320" t="s">
        <v>208</v>
      </c>
      <c r="Z85" s="321">
        <f>IF(Z84&lt;=30,1,IF(Z84&gt;100,3000/(Z84)^2,1.3-0.01*Z84))</f>
        <v>0.35097142857142871</v>
      </c>
      <c r="AA85" s="322">
        <f t="shared" ref="AA85:AB85" si="5">IF(AA84&lt;=30,1,IF(AA84&gt;100,3000/(AA84)^2,1.3-0.01*AA84))</f>
        <v>0.46960000000000013</v>
      </c>
      <c r="AB85" s="322">
        <f t="shared" si="5"/>
        <v>0.35097142857142871</v>
      </c>
      <c r="AC85" s="156" t="e">
        <f>IF(AC84&lt;=30,1,IF(AC84&gt;100,3000/(AC84)^2,1.3-0.01*AC84))</f>
        <v>#DIV/0!</v>
      </c>
      <c r="AD85" s="126"/>
      <c r="AE85" s="126"/>
      <c r="AF85" s="126"/>
      <c r="AG85" s="124"/>
      <c r="AH85" s="5"/>
    </row>
    <row r="86" spans="1:37" ht="30" customHeight="1" thickBot="1">
      <c r="B86" s="828" t="s">
        <v>269</v>
      </c>
      <c r="C86" s="71" t="s">
        <v>148</v>
      </c>
      <c r="D86" s="831" t="s">
        <v>293</v>
      </c>
      <c r="E86" s="832"/>
      <c r="F86" s="832"/>
      <c r="G86" s="833"/>
      <c r="H86" s="834" t="s">
        <v>71</v>
      </c>
      <c r="I86" s="835"/>
      <c r="J86" s="859" t="s">
        <v>49</v>
      </c>
      <c r="K86" s="860"/>
      <c r="L86" s="861"/>
      <c r="M86" s="862">
        <f>IF($W$77=TRUE,IFERROR(VLOOKUP(D86&amp;H86&amp;J86,柱の圧縮基準強度!$A$4:$F$187,6,0),"該当なし"),"")</f>
        <v>20.399999999999999</v>
      </c>
      <c r="N86" s="779"/>
      <c r="O86" s="795">
        <f t="shared" ref="O86:O97" si="6">IF($W$77=TRUE,Z88,"")</f>
        <v>14.9</v>
      </c>
      <c r="P86" s="796"/>
      <c r="Q86" s="795">
        <f t="shared" ref="Q86:Q97" si="7">IF($W$77=TRUE,AA88,"")</f>
        <v>26.3</v>
      </c>
      <c r="R86" s="796"/>
      <c r="S86" s="797">
        <f t="shared" ref="S86:S97" si="8">IFERROR(IF($W$77=TRUE,AB88,""),"")</f>
        <v>29.9</v>
      </c>
      <c r="T86" s="797"/>
      <c r="U86" s="797" t="str">
        <f t="shared" ref="U86:U97" si="9">IFERROR(IF($W$77=TRUE,AC88,""),"")</f>
        <v/>
      </c>
      <c r="V86" s="798"/>
      <c r="W86" s="227"/>
      <c r="X86" s="790"/>
      <c r="Y86" s="324" t="s">
        <v>277</v>
      </c>
      <c r="Z86" s="216" t="str">
        <f>IF(($H$16-0.12)*1000/O85&lt;=43.3,"","有効細長比150以上")</f>
        <v/>
      </c>
      <c r="AA86" s="325" t="str">
        <f>IF(($H$16-0.12)*1000/Q85&lt;=43.3,"","有効細長比150以上")</f>
        <v/>
      </c>
      <c r="AB86" s="325" t="str">
        <f>IF(($H$16-0.12)*1000/MIN(S85:T85)&lt;=43.3,"","有効細長比150以上")</f>
        <v/>
      </c>
      <c r="AC86" s="161" t="e">
        <f>IF(($H$16-0.12)*1000/MIN(U85:V85)&lt;=43.3,"","有効細長比150以上")</f>
        <v>#DIV/0!</v>
      </c>
      <c r="AD86" s="126"/>
      <c r="AE86" s="126"/>
      <c r="AF86" s="126"/>
      <c r="AG86" s="124"/>
      <c r="AH86" s="5"/>
    </row>
    <row r="87" spans="1:37" ht="30" customHeight="1" thickBot="1">
      <c r="B87" s="829"/>
      <c r="C87" s="42" t="s">
        <v>149</v>
      </c>
      <c r="D87" s="848"/>
      <c r="E87" s="849"/>
      <c r="F87" s="849"/>
      <c r="G87" s="850"/>
      <c r="H87" s="851"/>
      <c r="I87" s="852"/>
      <c r="J87" s="853"/>
      <c r="K87" s="854"/>
      <c r="L87" s="855"/>
      <c r="M87" s="856" t="str">
        <f>IF($W$77=TRUE,IFERROR(VLOOKUP(D87&amp;H87&amp;J87,柱の圧縮基準強度!$A$4:$F$187,6,0),"該当なし"),"")</f>
        <v>該当なし</v>
      </c>
      <c r="N87" s="773"/>
      <c r="O87" s="863" t="str">
        <f t="shared" si="6"/>
        <v/>
      </c>
      <c r="P87" s="864"/>
      <c r="Q87" s="863" t="str">
        <f t="shared" si="7"/>
        <v/>
      </c>
      <c r="R87" s="864"/>
      <c r="S87" s="865" t="str">
        <f t="shared" si="8"/>
        <v/>
      </c>
      <c r="T87" s="865"/>
      <c r="U87" s="865" t="str">
        <f t="shared" si="9"/>
        <v/>
      </c>
      <c r="V87" s="868"/>
      <c r="W87" s="227"/>
      <c r="X87" s="125"/>
      <c r="Y87" s="836" t="s">
        <v>289</v>
      </c>
      <c r="Z87" s="189" t="s">
        <v>32</v>
      </c>
      <c r="AA87" s="315" t="s">
        <v>33</v>
      </c>
      <c r="AB87" s="315" t="s">
        <v>205</v>
      </c>
      <c r="AC87" s="316" t="s">
        <v>209</v>
      </c>
      <c r="AD87" s="200" t="s">
        <v>271</v>
      </c>
      <c r="AE87" s="126"/>
      <c r="AF87" s="126"/>
      <c r="AG87" s="124"/>
      <c r="AH87" s="5"/>
    </row>
    <row r="88" spans="1:37" ht="30" customHeight="1" thickBot="1">
      <c r="B88" s="830"/>
      <c r="C88" s="72" t="s">
        <v>154</v>
      </c>
      <c r="D88" s="838" t="s">
        <v>460</v>
      </c>
      <c r="E88" s="839"/>
      <c r="F88" s="839"/>
      <c r="G88" s="839"/>
      <c r="H88" s="839"/>
      <c r="I88" s="840"/>
      <c r="J88" s="841" t="s">
        <v>299</v>
      </c>
      <c r="K88" s="842"/>
      <c r="L88" s="843"/>
      <c r="M88" s="844"/>
      <c r="N88" s="845"/>
      <c r="O88" s="846">
        <f t="shared" si="6"/>
        <v>0</v>
      </c>
      <c r="P88" s="847"/>
      <c r="Q88" s="846">
        <f t="shared" si="7"/>
        <v>0</v>
      </c>
      <c r="R88" s="847"/>
      <c r="S88" s="857">
        <f t="shared" si="8"/>
        <v>0</v>
      </c>
      <c r="T88" s="857"/>
      <c r="U88" s="857" t="str">
        <f t="shared" si="9"/>
        <v/>
      </c>
      <c r="V88" s="858"/>
      <c r="W88" s="227"/>
      <c r="X88" s="125"/>
      <c r="Y88" s="837"/>
      <c r="Z88" s="342">
        <f>IF($Z82="",IFERROR(ROUNDDOWN(1.1/3*$Z81*$M86*O85*O85/$Z$55/1000,1),""),$Z82)</f>
        <v>14.9</v>
      </c>
      <c r="AA88" s="318">
        <f>IF($AA82="",IFERROR(ROUNDDOWN(1.1/3*$AA81*$M86*Q85*Q85/$Z$55/1000,1),""),$AA82)</f>
        <v>26.3</v>
      </c>
      <c r="AB88" s="275">
        <f>IF(AB82="",IFERROR(ROUNDDOWN(1.1/3*AB81*$M86*S85*T85/$Z$55/1000,1),""),AB82)</f>
        <v>29.9</v>
      </c>
      <c r="AC88" s="275" t="e">
        <f>IF(AC82="",IFERROR(ROUNDDOWN(1.1/3*AC81*$M86*U85*V85/$Z$55/1000,1),""),AC82)</f>
        <v>#DIV/0!</v>
      </c>
      <c r="AD88" s="366" t="str">
        <f>IF($D86="JAS機械等級区分構造用製材","機械",IF($D86="JAS目視等級区分構造用製材", "目視",IF($D86="無等級材","無等級",IF($D86="JAS同一等級構成集成材","集成材","LVL"))))</f>
        <v>目視</v>
      </c>
      <c r="AE88" s="126"/>
      <c r="AF88" s="126"/>
      <c r="AG88" s="124"/>
      <c r="AH88" s="5"/>
    </row>
    <row r="89" spans="1:37" ht="30" customHeight="1">
      <c r="B89" s="829" t="s">
        <v>267</v>
      </c>
      <c r="C89" s="73" t="s">
        <v>148</v>
      </c>
      <c r="D89" s="831" t="s">
        <v>293</v>
      </c>
      <c r="E89" s="832"/>
      <c r="F89" s="832"/>
      <c r="G89" s="833"/>
      <c r="H89" s="834" t="s">
        <v>71</v>
      </c>
      <c r="I89" s="835"/>
      <c r="J89" s="869" t="s">
        <v>49</v>
      </c>
      <c r="K89" s="870"/>
      <c r="L89" s="871"/>
      <c r="M89" s="862">
        <f>IF($W$77=TRUE,IFERROR(VLOOKUP(D89&amp;H89&amp;J89,柱の圧縮基準強度!$A$4:$F$187,6,0),"該当なし"),"")</f>
        <v>20.399999999999999</v>
      </c>
      <c r="N89" s="779"/>
      <c r="O89" s="795">
        <f t="shared" si="6"/>
        <v>19.5</v>
      </c>
      <c r="P89" s="796"/>
      <c r="Q89" s="795">
        <f t="shared" si="7"/>
        <v>34.299999999999997</v>
      </c>
      <c r="R89" s="796"/>
      <c r="S89" s="866">
        <f t="shared" si="8"/>
        <v>39</v>
      </c>
      <c r="T89" s="866"/>
      <c r="U89" s="866" t="str">
        <f t="shared" si="9"/>
        <v/>
      </c>
      <c r="V89" s="867"/>
      <c r="W89" s="227"/>
      <c r="X89" s="125"/>
      <c r="Y89" s="125"/>
      <c r="Z89" s="343" t="str">
        <f>IF(Z82="",IFERROR(ROUNDDOWN(1.1/3*Z81*$M87*O85*O85/$Z$55/1000,1),""),Z82)</f>
        <v/>
      </c>
      <c r="AA89" s="344" t="str">
        <f>IF(AA82="",IFERROR(ROUNDDOWN(1.1/3*AA81*$M87*Q85*Q85/$Z$55/1000,1),""),AA82)</f>
        <v/>
      </c>
      <c r="AB89" s="159" t="str">
        <f>IF(AB82="",IFERROR(ROUNDDOWN(1.1/3*AB81*$M87*S85*T85/$Z$55/1000,1),""),AB82)</f>
        <v/>
      </c>
      <c r="AC89" s="159" t="e">
        <f>IF(AC82="",IFERROR(ROUNDDOWN(1.1/3*AC81*$M87*U85*V85/$Z$55/1000,1),""),AC82)</f>
        <v>#DIV/0!</v>
      </c>
      <c r="AD89" s="312" t="str">
        <f t="shared" ref="AD89:AD99" si="10">IF($D87="JAS機械等級区分構造用製材","機械",IF($D87="JAS目視等級区分構造用製材", "目視",IF($D87="無等級材","無等級",IF($D87="JAS同一等級構成集成材","集成材","LVL"))))</f>
        <v>LVL</v>
      </c>
      <c r="AE89" s="126"/>
      <c r="AF89" s="126"/>
      <c r="AG89" s="124"/>
      <c r="AH89" s="5"/>
    </row>
    <row r="90" spans="1:37" ht="30" customHeight="1">
      <c r="B90" s="829"/>
      <c r="C90" s="42" t="s">
        <v>149</v>
      </c>
      <c r="D90" s="848"/>
      <c r="E90" s="849"/>
      <c r="F90" s="849"/>
      <c r="G90" s="850"/>
      <c r="H90" s="851"/>
      <c r="I90" s="852"/>
      <c r="J90" s="853"/>
      <c r="K90" s="854"/>
      <c r="L90" s="855"/>
      <c r="M90" s="856" t="str">
        <f>IF($W$77=TRUE,IFERROR(VLOOKUP(D90&amp;H90&amp;J90,柱の圧縮基準強度!$A$4:$F$187,6,0),"該当なし"),"")</f>
        <v>該当なし</v>
      </c>
      <c r="N90" s="773"/>
      <c r="O90" s="863" t="str">
        <f t="shared" si="6"/>
        <v/>
      </c>
      <c r="P90" s="864"/>
      <c r="Q90" s="863" t="str">
        <f t="shared" si="7"/>
        <v/>
      </c>
      <c r="R90" s="864"/>
      <c r="S90" s="865" t="str">
        <f t="shared" si="8"/>
        <v/>
      </c>
      <c r="T90" s="865"/>
      <c r="U90" s="865" t="str">
        <f t="shared" si="9"/>
        <v/>
      </c>
      <c r="V90" s="868"/>
      <c r="W90" s="227"/>
      <c r="X90" s="125"/>
      <c r="Y90" s="125"/>
      <c r="Z90" s="343">
        <f>IF(Z82="",IFERROR(ROUNDDOWN(1.1/3*Z81*$M88*O85*O85/$Z$55/1000,1),""),Z82)</f>
        <v>0</v>
      </c>
      <c r="AA90" s="344">
        <f>IF(AA82="",IFERROR(ROUNDDOWN(1.1/3*AA81*$M88*Q85*Q85/$Z$55/1000,1),""),AA82)</f>
        <v>0</v>
      </c>
      <c r="AB90" s="159">
        <f>IF(AB82="",IFERROR(ROUNDDOWN(1.1/3*AB81*$M88*S85*T85/$Z$55/1000,1),""),AB82)</f>
        <v>0</v>
      </c>
      <c r="AC90" s="159" t="e">
        <f>IF(AC82="",IFERROR(ROUNDDOWN(1.1/3*AC81*$M88*U85*V85/$Z$55/1000,1),""),AC82)</f>
        <v>#DIV/0!</v>
      </c>
      <c r="AD90" s="312" t="str">
        <f t="shared" si="10"/>
        <v>LVL</v>
      </c>
      <c r="AE90" s="126"/>
      <c r="AF90" s="126"/>
      <c r="AG90" s="124"/>
      <c r="AH90" s="5"/>
    </row>
    <row r="91" spans="1:37" ht="30" customHeight="1" thickBot="1">
      <c r="B91" s="830"/>
      <c r="C91" s="72" t="s">
        <v>154</v>
      </c>
      <c r="D91" s="838" t="s">
        <v>460</v>
      </c>
      <c r="E91" s="839"/>
      <c r="F91" s="839"/>
      <c r="G91" s="839"/>
      <c r="H91" s="839"/>
      <c r="I91" s="840"/>
      <c r="J91" s="841" t="s">
        <v>299</v>
      </c>
      <c r="K91" s="842"/>
      <c r="L91" s="843"/>
      <c r="M91" s="844"/>
      <c r="N91" s="845"/>
      <c r="O91" s="846">
        <f t="shared" si="6"/>
        <v>0</v>
      </c>
      <c r="P91" s="847"/>
      <c r="Q91" s="846">
        <f t="shared" si="7"/>
        <v>0</v>
      </c>
      <c r="R91" s="847"/>
      <c r="S91" s="872">
        <f t="shared" si="8"/>
        <v>0</v>
      </c>
      <c r="T91" s="872"/>
      <c r="U91" s="872" t="str">
        <f t="shared" si="9"/>
        <v/>
      </c>
      <c r="V91" s="873"/>
      <c r="W91" s="227"/>
      <c r="X91" s="243"/>
      <c r="Y91" s="126"/>
      <c r="Z91" s="215">
        <f>IF(Z82="",IFERROR(ROUNDDOWN(1.1/3*Z81*$M89*O85*O85/$AA$55/1000,1),""),Z82)</f>
        <v>19.5</v>
      </c>
      <c r="AA91" s="159">
        <f>IF(AA82="",IFERROR(ROUNDDOWN(1.1/3*AA81*$M89*Q85*Q85/$AA$55/1000,1),""),AA82)</f>
        <v>34.299999999999997</v>
      </c>
      <c r="AB91" s="159">
        <f>IF(AB82="",IFERROR(ROUNDDOWN(1.1/3*AB81*$M89*S85*T85/$AA$55/1000,1),""),AB82)</f>
        <v>39</v>
      </c>
      <c r="AC91" s="159" t="e">
        <f>IF(AC82="",IFERROR(ROUNDDOWN(1.1/3*AC81*$M89*U85*V85/$AA$55/1000,1),""),AC82)</f>
        <v>#DIV/0!</v>
      </c>
      <c r="AD91" s="312" t="str">
        <f t="shared" si="10"/>
        <v>目視</v>
      </c>
      <c r="AE91" s="126"/>
      <c r="AF91" s="126"/>
      <c r="AG91" s="124"/>
      <c r="AH91" s="5"/>
    </row>
    <row r="92" spans="1:37" ht="30" customHeight="1" thickBot="1">
      <c r="B92" s="828" t="s">
        <v>270</v>
      </c>
      <c r="C92" s="71" t="s">
        <v>148</v>
      </c>
      <c r="D92" s="831" t="s">
        <v>293</v>
      </c>
      <c r="E92" s="832"/>
      <c r="F92" s="832"/>
      <c r="G92" s="833"/>
      <c r="H92" s="834" t="s">
        <v>71</v>
      </c>
      <c r="I92" s="835"/>
      <c r="J92" s="869" t="s">
        <v>49</v>
      </c>
      <c r="K92" s="870"/>
      <c r="L92" s="871"/>
      <c r="M92" s="862">
        <f>IF($W$77=TRUE,IFERROR(VLOOKUP(D92&amp;H92&amp;J92,柱の圧縮基準強度!$A$4:$F$187,6,0),"該当なし"),"")</f>
        <v>20.399999999999999</v>
      </c>
      <c r="N92" s="779"/>
      <c r="O92" s="795">
        <f t="shared" si="6"/>
        <v>5.8</v>
      </c>
      <c r="P92" s="796"/>
      <c r="Q92" s="795">
        <f t="shared" si="7"/>
        <v>10.199999999999999</v>
      </c>
      <c r="R92" s="796"/>
      <c r="S92" s="797">
        <f t="shared" si="8"/>
        <v>11.7</v>
      </c>
      <c r="T92" s="797"/>
      <c r="U92" s="797" t="str">
        <f t="shared" si="9"/>
        <v/>
      </c>
      <c r="V92" s="798"/>
      <c r="W92" s="227"/>
      <c r="X92" s="126"/>
      <c r="Y92" s="126"/>
      <c r="Z92" s="216" t="str">
        <f>IF(Z82="",IFERROR(ROUNDDOWN(1.1/3*Z81*$M90*O85*O85/$AA$55/1000,1),""),Z82)</f>
        <v/>
      </c>
      <c r="AA92" s="325" t="str">
        <f>IF(AA82="",IFERROR(ROUNDDOWN(1.1/3*AA81*$M90*Q85*Q85/$AA$55/1000,1),""),AA82)</f>
        <v/>
      </c>
      <c r="AB92" s="325" t="str">
        <f>IF(AB82="",IFERROR(ROUNDDOWN(1.1/3*AB81*$M90*S85*T85/$AA$55/1000,1),""),AB82)</f>
        <v/>
      </c>
      <c r="AC92" s="325" t="e">
        <f>IF(AC82="",IFERROR(ROUNDDOWN(1.1/3*AC81*$M90*U85*V85/$AA$55/1000,1),""),AC82)</f>
        <v>#DIV/0!</v>
      </c>
      <c r="AD92" s="312" t="str">
        <f t="shared" si="10"/>
        <v>LVL</v>
      </c>
      <c r="AE92" s="126"/>
      <c r="AF92" s="126"/>
      <c r="AG92" s="124"/>
      <c r="AH92" s="5"/>
    </row>
    <row r="93" spans="1:37" ht="30" customHeight="1" thickBot="1">
      <c r="B93" s="829"/>
      <c r="C93" s="42" t="s">
        <v>149</v>
      </c>
      <c r="D93" s="848" t="s">
        <v>231</v>
      </c>
      <c r="E93" s="849"/>
      <c r="F93" s="849"/>
      <c r="G93" s="850"/>
      <c r="H93" s="851" t="s">
        <v>294</v>
      </c>
      <c r="I93" s="852"/>
      <c r="J93" s="853" t="s">
        <v>627</v>
      </c>
      <c r="K93" s="854"/>
      <c r="L93" s="855"/>
      <c r="M93" s="856">
        <f>IF($W$77=TRUE,IFERROR(VLOOKUP(D93&amp;H93&amp;J93,柱の圧縮基準強度!$A$4:$F$187,6,0),"該当なし"),"")</f>
        <v>26</v>
      </c>
      <c r="N93" s="773"/>
      <c r="O93" s="863">
        <f t="shared" si="6"/>
        <v>7.4</v>
      </c>
      <c r="P93" s="864"/>
      <c r="Q93" s="863">
        <f t="shared" si="7"/>
        <v>13.1</v>
      </c>
      <c r="R93" s="864"/>
      <c r="S93" s="865">
        <f t="shared" si="8"/>
        <v>14.9</v>
      </c>
      <c r="T93" s="865"/>
      <c r="U93" s="865" t="str">
        <f t="shared" si="9"/>
        <v/>
      </c>
      <c r="V93" s="868"/>
      <c r="W93" s="227"/>
      <c r="X93" s="126"/>
      <c r="Y93" s="126"/>
      <c r="Z93" s="216">
        <f>IF(Z82="",IFERROR(ROUNDDOWN(1.1/3*Z81*$M91*O85*O85/$AA$55/1000,1),""),Z82)</f>
        <v>0</v>
      </c>
      <c r="AA93" s="325">
        <f>IF(AA82="",IFERROR(ROUNDDOWN(1.1/3*AA81*$M91*Q85*Q85/$AA$55/1000,1),""),AA82)</f>
        <v>0</v>
      </c>
      <c r="AB93" s="325">
        <f>IF(AB82="",IFERROR(ROUNDDOWN(1.1/3*AB81*$M91*S85*T85/$AA$55/1000,1),""),AB82)</f>
        <v>0</v>
      </c>
      <c r="AC93" s="325" t="e">
        <f>IF(AC82="",IFERROR(ROUNDDOWN(1.1/3*AC81*$M91*U85*V85/$AA$55/1000,1),""),AC82)</f>
        <v>#DIV/0!</v>
      </c>
      <c r="AD93" s="312" t="str">
        <f t="shared" si="10"/>
        <v>LVL</v>
      </c>
      <c r="AE93" s="126"/>
      <c r="AF93" s="126"/>
      <c r="AG93" s="124"/>
      <c r="AH93" s="5"/>
    </row>
    <row r="94" spans="1:37" ht="30" customHeight="1" thickBot="1">
      <c r="B94" s="830"/>
      <c r="C94" s="72" t="s">
        <v>154</v>
      </c>
      <c r="D94" s="838" t="s">
        <v>460</v>
      </c>
      <c r="E94" s="839"/>
      <c r="F94" s="839"/>
      <c r="G94" s="839"/>
      <c r="H94" s="839"/>
      <c r="I94" s="840"/>
      <c r="J94" s="841" t="s">
        <v>299</v>
      </c>
      <c r="K94" s="842"/>
      <c r="L94" s="843"/>
      <c r="M94" s="844"/>
      <c r="N94" s="845"/>
      <c r="O94" s="846">
        <f t="shared" si="6"/>
        <v>0</v>
      </c>
      <c r="P94" s="847"/>
      <c r="Q94" s="846">
        <f t="shared" si="7"/>
        <v>0</v>
      </c>
      <c r="R94" s="847"/>
      <c r="S94" s="874">
        <f t="shared" si="8"/>
        <v>0</v>
      </c>
      <c r="T94" s="874"/>
      <c r="U94" s="874" t="str">
        <f t="shared" si="9"/>
        <v/>
      </c>
      <c r="V94" s="875"/>
      <c r="W94" s="227"/>
      <c r="X94" s="126"/>
      <c r="Y94" s="126"/>
      <c r="Z94" s="214">
        <f>IF(Z86="",IFERROR(ROUNDDOWN(1.1/3*Z85*$M92*O85*O85/$Z$56/1000,1),""),Z86)</f>
        <v>5.8</v>
      </c>
      <c r="AA94" s="326">
        <f>IF(AA86="",IFERROR(ROUNDDOWN(1.1/3*AA85*$M92*Q85*Q85/$Z$56/1000,1),""),AA86)</f>
        <v>10.199999999999999</v>
      </c>
      <c r="AB94" s="326">
        <f>IF(AB86="",IFERROR(ROUNDDOWN(1.1/3*AB85*$M92*S85*T85/$Z$56/1000,1),""),AB86)</f>
        <v>11.7</v>
      </c>
      <c r="AC94" s="326" t="e">
        <f>IF(AC86="",IFERROR(ROUNDDOWN(1.1/3*AC85*$M92*U85*V85/$Z$56/1000,1),""),AC86)</f>
        <v>#DIV/0!</v>
      </c>
      <c r="AD94" s="312" t="str">
        <f t="shared" si="10"/>
        <v>目視</v>
      </c>
      <c r="AE94" s="126"/>
      <c r="AF94" s="126"/>
      <c r="AG94" s="124"/>
      <c r="AH94" s="5"/>
    </row>
    <row r="95" spans="1:37" ht="30" customHeight="1">
      <c r="B95" s="828" t="s">
        <v>268</v>
      </c>
      <c r="C95" s="71" t="s">
        <v>148</v>
      </c>
      <c r="D95" s="831" t="s">
        <v>293</v>
      </c>
      <c r="E95" s="832"/>
      <c r="F95" s="832"/>
      <c r="G95" s="833"/>
      <c r="H95" s="834" t="s">
        <v>71</v>
      </c>
      <c r="I95" s="835"/>
      <c r="J95" s="869" t="s">
        <v>49</v>
      </c>
      <c r="K95" s="870"/>
      <c r="L95" s="871"/>
      <c r="M95" s="862">
        <f>IF($W$77=TRUE,IFERROR(VLOOKUP(D95&amp;H95&amp;J95,柱の圧縮基準強度!$A$4:$F$187,6,0),"該当なし"),"")</f>
        <v>20.399999999999999</v>
      </c>
      <c r="N95" s="779"/>
      <c r="O95" s="795">
        <f t="shared" si="6"/>
        <v>8</v>
      </c>
      <c r="P95" s="796"/>
      <c r="Q95" s="795">
        <f t="shared" si="7"/>
        <v>14.1</v>
      </c>
      <c r="R95" s="796"/>
      <c r="S95" s="797">
        <f t="shared" si="8"/>
        <v>16.100000000000001</v>
      </c>
      <c r="T95" s="797"/>
      <c r="U95" s="797" t="str">
        <f t="shared" si="9"/>
        <v/>
      </c>
      <c r="V95" s="798"/>
      <c r="W95" s="227"/>
      <c r="X95" s="126"/>
      <c r="Y95" s="126"/>
      <c r="Z95" s="215">
        <f>IF(Z86="",IFERROR(ROUNDDOWN(1.1/3*Z85*$M93*O85*O85/$Z$56/1000,1),""),Z86)</f>
        <v>7.4</v>
      </c>
      <c r="AA95" s="159">
        <f>IF(AA86="",IFERROR(ROUNDDOWN(1.1/3*AA85*$M93*Q85*Q85/$Z$56/1000,1),""),AA86)</f>
        <v>13.1</v>
      </c>
      <c r="AB95" s="159">
        <f>IF(AB86="",IFERROR(ROUNDDOWN(1.1/3*AB85*$M93*S85*T85/$Z$56/1000,1),""),AB86)</f>
        <v>14.9</v>
      </c>
      <c r="AC95" s="159" t="e">
        <f>IF(AC86="",IFERROR(ROUNDDOWN(1.1/3*AC85*$M93*U85*V85/$Z$56/1000,1),""),AC86)</f>
        <v>#DIV/0!</v>
      </c>
      <c r="AD95" s="312" t="str">
        <f t="shared" si="10"/>
        <v>集成材</v>
      </c>
      <c r="AE95" s="126"/>
      <c r="AF95" s="126"/>
      <c r="AG95" s="124"/>
      <c r="AH95" s="5"/>
    </row>
    <row r="96" spans="1:37" ht="30" customHeight="1">
      <c r="B96" s="829"/>
      <c r="C96" s="42" t="s">
        <v>149</v>
      </c>
      <c r="D96" s="848" t="s">
        <v>231</v>
      </c>
      <c r="E96" s="849"/>
      <c r="F96" s="849"/>
      <c r="G96" s="850"/>
      <c r="H96" s="851" t="s">
        <v>294</v>
      </c>
      <c r="I96" s="852"/>
      <c r="J96" s="853" t="s">
        <v>627</v>
      </c>
      <c r="K96" s="854"/>
      <c r="L96" s="855"/>
      <c r="M96" s="856">
        <f>IF($W$77=TRUE,IFERROR(VLOOKUP(D96&amp;H96&amp;J96,柱の圧縮基準強度!$A$4:$F$187,6,0),"該当なし"),"")</f>
        <v>26</v>
      </c>
      <c r="N96" s="773"/>
      <c r="O96" s="863">
        <f t="shared" si="6"/>
        <v>10.199999999999999</v>
      </c>
      <c r="P96" s="864"/>
      <c r="Q96" s="863">
        <f t="shared" si="7"/>
        <v>17.899999999999999</v>
      </c>
      <c r="R96" s="864"/>
      <c r="S96" s="865">
        <f t="shared" si="8"/>
        <v>20.5</v>
      </c>
      <c r="T96" s="865"/>
      <c r="U96" s="865" t="str">
        <f t="shared" si="9"/>
        <v/>
      </c>
      <c r="V96" s="868"/>
      <c r="W96" s="201"/>
      <c r="X96" s="126"/>
      <c r="Y96" s="126"/>
      <c r="Z96" s="215">
        <f>IF(Z86="",IFERROR(ROUNDDOWN(1.1/3*Z85*$M94*O85*O85/$Z$56/1000,1),""),Z86)</f>
        <v>0</v>
      </c>
      <c r="AA96" s="159">
        <f>IF(AA86="",IFERROR(ROUNDDOWN(1.1/3*AA85*$M94*Q85*Q85/$Z$56/1000,1),""),AA86)</f>
        <v>0</v>
      </c>
      <c r="AB96" s="159">
        <f>IF(AB86="",IFERROR(ROUNDDOWN(1.1/3*AB85*$M94*S85*T85/$Z$56/1000,1),""),AB86)</f>
        <v>0</v>
      </c>
      <c r="AC96" s="159" t="e">
        <f>IF(AC86="",IFERROR(ROUNDDOWN(1.1/3*AC85*$M94*U85*V85/$Z$56/1000,1),""),AC86)</f>
        <v>#DIV/0!</v>
      </c>
      <c r="AD96" s="312" t="str">
        <f t="shared" si="10"/>
        <v>LVL</v>
      </c>
      <c r="AE96" s="126"/>
      <c r="AF96" s="126"/>
      <c r="AG96" s="124"/>
      <c r="AH96" s="5"/>
    </row>
    <row r="97" spans="2:33" ht="30" customHeight="1" thickBot="1">
      <c r="B97" s="830"/>
      <c r="C97" s="72" t="s">
        <v>154</v>
      </c>
      <c r="D97" s="838" t="s">
        <v>460</v>
      </c>
      <c r="E97" s="839"/>
      <c r="F97" s="839"/>
      <c r="G97" s="839"/>
      <c r="H97" s="839"/>
      <c r="I97" s="840"/>
      <c r="J97" s="841" t="s">
        <v>299</v>
      </c>
      <c r="K97" s="842"/>
      <c r="L97" s="843"/>
      <c r="M97" s="844"/>
      <c r="N97" s="845"/>
      <c r="O97" s="846">
        <f t="shared" si="6"/>
        <v>0</v>
      </c>
      <c r="P97" s="847"/>
      <c r="Q97" s="846">
        <f t="shared" si="7"/>
        <v>0</v>
      </c>
      <c r="R97" s="847"/>
      <c r="S97" s="874">
        <f t="shared" si="8"/>
        <v>0</v>
      </c>
      <c r="T97" s="874"/>
      <c r="U97" s="874" t="str">
        <f t="shared" si="9"/>
        <v/>
      </c>
      <c r="V97" s="875"/>
      <c r="W97" s="201"/>
      <c r="X97" s="126"/>
      <c r="Y97" s="126"/>
      <c r="Z97" s="215">
        <f>IF(Z86="",IFERROR(ROUNDDOWN(1.1/3*Z85*$M95*O85*O85/$AA$56/1000,1),""),Z86)</f>
        <v>8</v>
      </c>
      <c r="AA97" s="159">
        <f>IF(AA86="",IFERROR(ROUNDDOWN(1.1/3*AA85*$M95*Q85*Q85/$AA$56/1000,1),""),AA86)</f>
        <v>14.1</v>
      </c>
      <c r="AB97" s="159">
        <f>IF(AB86="",IFERROR(ROUNDDOWN(1.1/3*AB85*$M95*S85*T85/$AA$56/1000,1),""),AB86)</f>
        <v>16.100000000000001</v>
      </c>
      <c r="AC97" s="159" t="e">
        <f>IF(AC86="",IFERROR(ROUNDDOWN(1.1/3*AC85*$M95*U85*V85/$AA$56/1000,1),""),AC86)</f>
        <v>#DIV/0!</v>
      </c>
      <c r="AD97" s="312" t="str">
        <f t="shared" si="10"/>
        <v>目視</v>
      </c>
      <c r="AE97" s="126"/>
      <c r="AF97" s="126"/>
      <c r="AG97" s="124"/>
    </row>
    <row r="98" spans="2:33" ht="20.100000000000001" customHeight="1" thickBot="1">
      <c r="B98" s="7" t="s">
        <v>286</v>
      </c>
      <c r="V98" s="349"/>
      <c r="W98" s="126"/>
      <c r="X98" s="126"/>
      <c r="Y98" s="126"/>
      <c r="Z98" s="216">
        <f>IF(Z86="",IFERROR(ROUNDDOWN(1.1/3*Z85*$M96*O85*O85/$AA$56/1000,1),""),Z86)</f>
        <v>10.199999999999999</v>
      </c>
      <c r="AA98" s="325">
        <f>IF(AA86="",IFERROR(ROUNDDOWN(1.1/3*AA85*$M96*Q85*Q85/$AA$56/1000,1),""),AA86)</f>
        <v>17.899999999999999</v>
      </c>
      <c r="AB98" s="325">
        <f>IF(AB86="",IFERROR(ROUNDDOWN(1.1/3*AB85*$M96*S85*T85/$AA$56/1000,1),""),AB86)</f>
        <v>20.5</v>
      </c>
      <c r="AC98" s="325" t="e">
        <f>IF(AC86="",IFERROR(ROUNDDOWN(1.1/3*AC85*$M96*U85*V85/$AA$56/1000,1),""),AC86)</f>
        <v>#DIV/0!</v>
      </c>
      <c r="AD98" s="312" t="str">
        <f t="shared" si="10"/>
        <v>集成材</v>
      </c>
      <c r="AE98" s="126"/>
      <c r="AF98" s="126"/>
      <c r="AG98" s="124"/>
    </row>
    <row r="99" spans="2:33" ht="20.100000000000001" customHeight="1" thickBot="1">
      <c r="T99" s="74"/>
      <c r="U99" s="74"/>
      <c r="W99" s="126"/>
      <c r="X99" s="126"/>
      <c r="Y99" s="126"/>
      <c r="Z99" s="216">
        <f>IF(Z86="",IFERROR(ROUNDDOWN(1.1/3*Z85*$M97*O85*O85/$AA$56/1000,1),""),Z86)</f>
        <v>0</v>
      </c>
      <c r="AA99" s="325">
        <f>IF(AA86="",IFERROR(ROUNDDOWN(1.1/3*AA85*$M97*Q85*Q85/$AA$56/1000,1),""),AA86)</f>
        <v>0</v>
      </c>
      <c r="AB99" s="325">
        <f>IF(AB86="",IFERROR(ROUNDDOWN(1.1/3*AB85*$M97*S85*T85/$AA$56/1000,1),""),AB86)</f>
        <v>0</v>
      </c>
      <c r="AC99" s="325" t="e">
        <f>IF(AC86="",IFERROR(ROUNDDOWN(1.1/3*AC85*$M97*U85*V85/$AA$56/1000,1),""),AC86)</f>
        <v>#DIV/0!</v>
      </c>
      <c r="AD99" s="312" t="str">
        <f t="shared" si="10"/>
        <v>LVL</v>
      </c>
      <c r="AE99" s="126"/>
      <c r="AF99" s="126"/>
      <c r="AG99" s="139"/>
    </row>
    <row r="100" spans="2:33">
      <c r="T100" s="74"/>
      <c r="U100" s="38"/>
      <c r="V100" s="20"/>
    </row>
    <row r="101" spans="2:33">
      <c r="U101" s="38"/>
      <c r="V101" s="20"/>
    </row>
    <row r="102" spans="2:33">
      <c r="U102" s="19"/>
    </row>
    <row r="103" spans="2:33">
      <c r="U103" s="19"/>
      <c r="V103" s="15"/>
    </row>
    <row r="104" spans="2:33">
      <c r="U104" s="19"/>
      <c r="V104" s="15"/>
    </row>
    <row r="105" spans="2:33">
      <c r="U105" s="19"/>
      <c r="V105" s="14"/>
    </row>
    <row r="106" spans="2:33">
      <c r="U106" s="19"/>
    </row>
    <row r="109" spans="2:33">
      <c r="V109" s="17"/>
    </row>
  </sheetData>
  <sheetProtection algorithmName="SHA-512" hashValue="K117OhMaEFVPM8J3a5kT42hOAyJdqi0Swuj01IZ0SHMO9jUUr5sFDkYEU9FRLwGPTlcXuZhVHRHbKN7Z/kVRRQ==" saltValue="oZQk7bROcZGOBXbEsKMOng==" spinCount="100000" sheet="1" objects="1" scenarios="1"/>
  <mergeCells count="354">
    <mergeCell ref="M97:N97"/>
    <mergeCell ref="O97:P97"/>
    <mergeCell ref="Q97:R97"/>
    <mergeCell ref="S97:T97"/>
    <mergeCell ref="U97:V97"/>
    <mergeCell ref="Q95:R95"/>
    <mergeCell ref="S95:T95"/>
    <mergeCell ref="U95:V95"/>
    <mergeCell ref="D96:G96"/>
    <mergeCell ref="H96:I96"/>
    <mergeCell ref="J96:L96"/>
    <mergeCell ref="M96:N96"/>
    <mergeCell ref="O96:P96"/>
    <mergeCell ref="Q96:R96"/>
    <mergeCell ref="S96:T96"/>
    <mergeCell ref="B95:B97"/>
    <mergeCell ref="D95:G95"/>
    <mergeCell ref="H95:I95"/>
    <mergeCell ref="J95:L95"/>
    <mergeCell ref="M95:N95"/>
    <mergeCell ref="O95:P95"/>
    <mergeCell ref="S93:T93"/>
    <mergeCell ref="U93:V93"/>
    <mergeCell ref="D94:I94"/>
    <mergeCell ref="J94:L94"/>
    <mergeCell ref="M94:N94"/>
    <mergeCell ref="O94:P94"/>
    <mergeCell ref="Q94:R94"/>
    <mergeCell ref="S94:T94"/>
    <mergeCell ref="U94:V94"/>
    <mergeCell ref="D93:G93"/>
    <mergeCell ref="H93:I93"/>
    <mergeCell ref="J93:L93"/>
    <mergeCell ref="M93:N93"/>
    <mergeCell ref="O93:P93"/>
    <mergeCell ref="Q93:R93"/>
    <mergeCell ref="U96:V96"/>
    <mergeCell ref="D97:I97"/>
    <mergeCell ref="J97:L97"/>
    <mergeCell ref="U91:V91"/>
    <mergeCell ref="B92:B94"/>
    <mergeCell ref="D92:G92"/>
    <mergeCell ref="H92:I92"/>
    <mergeCell ref="J92:L92"/>
    <mergeCell ref="M92:N92"/>
    <mergeCell ref="O92:P92"/>
    <mergeCell ref="Q92:R92"/>
    <mergeCell ref="S92:T92"/>
    <mergeCell ref="U92:V92"/>
    <mergeCell ref="D91:I91"/>
    <mergeCell ref="J91:L91"/>
    <mergeCell ref="M91:N91"/>
    <mergeCell ref="O91:P91"/>
    <mergeCell ref="Q91:R91"/>
    <mergeCell ref="S91:T91"/>
    <mergeCell ref="B89:B91"/>
    <mergeCell ref="J86:L86"/>
    <mergeCell ref="M86:N86"/>
    <mergeCell ref="O86:P86"/>
    <mergeCell ref="O87:P87"/>
    <mergeCell ref="Q87:R87"/>
    <mergeCell ref="S87:T87"/>
    <mergeCell ref="U89:V89"/>
    <mergeCell ref="D90:G90"/>
    <mergeCell ref="H90:I90"/>
    <mergeCell ref="J90:L90"/>
    <mergeCell ref="M90:N90"/>
    <mergeCell ref="O90:P90"/>
    <mergeCell ref="Q90:R90"/>
    <mergeCell ref="S90:T90"/>
    <mergeCell ref="U90:V90"/>
    <mergeCell ref="D89:G89"/>
    <mergeCell ref="H89:I89"/>
    <mergeCell ref="J89:L89"/>
    <mergeCell ref="M89:N89"/>
    <mergeCell ref="O89:P89"/>
    <mergeCell ref="Q89:R89"/>
    <mergeCell ref="S89:T89"/>
    <mergeCell ref="U87:V87"/>
    <mergeCell ref="Y87:Y88"/>
    <mergeCell ref="D88:I88"/>
    <mergeCell ref="J88:L88"/>
    <mergeCell ref="M88:N88"/>
    <mergeCell ref="O88:P88"/>
    <mergeCell ref="Q88:R88"/>
    <mergeCell ref="D87:G87"/>
    <mergeCell ref="H87:I87"/>
    <mergeCell ref="J87:L87"/>
    <mergeCell ref="M87:N87"/>
    <mergeCell ref="S88:T88"/>
    <mergeCell ref="U88:V88"/>
    <mergeCell ref="B78:T78"/>
    <mergeCell ref="U83:V83"/>
    <mergeCell ref="X83:X86"/>
    <mergeCell ref="O84:P84"/>
    <mergeCell ref="Q84:R84"/>
    <mergeCell ref="O85:P85"/>
    <mergeCell ref="Q85:R85"/>
    <mergeCell ref="Q86:R86"/>
    <mergeCell ref="S86:T86"/>
    <mergeCell ref="U86:V86"/>
    <mergeCell ref="X79:X82"/>
    <mergeCell ref="B82:C85"/>
    <mergeCell ref="D82:L82"/>
    <mergeCell ref="M82:V82"/>
    <mergeCell ref="D83:G85"/>
    <mergeCell ref="H83:I85"/>
    <mergeCell ref="J83:L85"/>
    <mergeCell ref="M83:N85"/>
    <mergeCell ref="O83:P83"/>
    <mergeCell ref="Q83:R83"/>
    <mergeCell ref="S83:T83"/>
    <mergeCell ref="B86:B88"/>
    <mergeCell ref="D86:G86"/>
    <mergeCell ref="H86:I86"/>
    <mergeCell ref="B73:B76"/>
    <mergeCell ref="D73:H73"/>
    <mergeCell ref="I73:K73"/>
    <mergeCell ref="L73:P73"/>
    <mergeCell ref="Q73:S73"/>
    <mergeCell ref="T73:V73"/>
    <mergeCell ref="B69:B72"/>
    <mergeCell ref="T76:V76"/>
    <mergeCell ref="L70:P70"/>
    <mergeCell ref="Q70:S70"/>
    <mergeCell ref="T70:V70"/>
    <mergeCell ref="D71:H71"/>
    <mergeCell ref="I71:K71"/>
    <mergeCell ref="L71:P71"/>
    <mergeCell ref="Q71:S71"/>
    <mergeCell ref="T71:V71"/>
    <mergeCell ref="D74:H74"/>
    <mergeCell ref="I74:K74"/>
    <mergeCell ref="L74:P74"/>
    <mergeCell ref="Q74:S74"/>
    <mergeCell ref="T74:V74"/>
    <mergeCell ref="D75:H75"/>
    <mergeCell ref="I75:K75"/>
    <mergeCell ref="L75:P75"/>
    <mergeCell ref="D69:H69"/>
    <mergeCell ref="I69:K69"/>
    <mergeCell ref="L69:P69"/>
    <mergeCell ref="Q69:S69"/>
    <mergeCell ref="T69:V69"/>
    <mergeCell ref="D70:H70"/>
    <mergeCell ref="I70:K70"/>
    <mergeCell ref="D76:K76"/>
    <mergeCell ref="L76:P76"/>
    <mergeCell ref="Q76:S76"/>
    <mergeCell ref="D72:K72"/>
    <mergeCell ref="L72:P72"/>
    <mergeCell ref="Q72:S72"/>
    <mergeCell ref="T72:V72"/>
    <mergeCell ref="Q75:S75"/>
    <mergeCell ref="T75:V75"/>
    <mergeCell ref="B62:Q62"/>
    <mergeCell ref="S62:U62"/>
    <mergeCell ref="B64:T64"/>
    <mergeCell ref="B66:T66"/>
    <mergeCell ref="B67:C68"/>
    <mergeCell ref="D67:P67"/>
    <mergeCell ref="Q67:V67"/>
    <mergeCell ref="D68:H68"/>
    <mergeCell ref="I68:K68"/>
    <mergeCell ref="L68:P68"/>
    <mergeCell ref="Q68:S68"/>
    <mergeCell ref="T68:V68"/>
    <mergeCell ref="B59:C59"/>
    <mergeCell ref="D59:E59"/>
    <mergeCell ref="F59:H59"/>
    <mergeCell ref="B60:C60"/>
    <mergeCell ref="D60:E60"/>
    <mergeCell ref="F60:H60"/>
    <mergeCell ref="X55:Y55"/>
    <mergeCell ref="B56:C58"/>
    <mergeCell ref="D56:H56"/>
    <mergeCell ref="X56:Y56"/>
    <mergeCell ref="D57:E58"/>
    <mergeCell ref="F57:H58"/>
    <mergeCell ref="AA52:AA54"/>
    <mergeCell ref="AB52:AB54"/>
    <mergeCell ref="AC52:AC54"/>
    <mergeCell ref="AD52:AD54"/>
    <mergeCell ref="AE52:AE54"/>
    <mergeCell ref="AF52:AF54"/>
    <mergeCell ref="F47:G47"/>
    <mergeCell ref="H47:I47"/>
    <mergeCell ref="J47:K47"/>
    <mergeCell ref="L47:V47"/>
    <mergeCell ref="X52:Y54"/>
    <mergeCell ref="Z52:Z54"/>
    <mergeCell ref="H45:I45"/>
    <mergeCell ref="J45:K45"/>
    <mergeCell ref="L45:V46"/>
    <mergeCell ref="F46:G46"/>
    <mergeCell ref="H46:I46"/>
    <mergeCell ref="J46:K46"/>
    <mergeCell ref="W41:W42"/>
    <mergeCell ref="X41:Y41"/>
    <mergeCell ref="X42:Y42"/>
    <mergeCell ref="W43:W44"/>
    <mergeCell ref="X43:Y43"/>
    <mergeCell ref="R36:T36"/>
    <mergeCell ref="U36:V36"/>
    <mergeCell ref="AE36:AF36"/>
    <mergeCell ref="C37:G40"/>
    <mergeCell ref="H37:J40"/>
    <mergeCell ref="K37:O40"/>
    <mergeCell ref="Q37:V37"/>
    <mergeCell ref="P38:Q38"/>
    <mergeCell ref="B44:B47"/>
    <mergeCell ref="C44:E47"/>
    <mergeCell ref="F44:G44"/>
    <mergeCell ref="H44:I44"/>
    <mergeCell ref="J44:K44"/>
    <mergeCell ref="R38:T38"/>
    <mergeCell ref="U38:V38"/>
    <mergeCell ref="P39:Q39"/>
    <mergeCell ref="R39:T39"/>
    <mergeCell ref="U39:V39"/>
    <mergeCell ref="P40:Q40"/>
    <mergeCell ref="R40:T40"/>
    <mergeCell ref="U40:V40"/>
    <mergeCell ref="B14:B40"/>
    <mergeCell ref="X44:Y44"/>
    <mergeCell ref="F45:G45"/>
    <mergeCell ref="O34:Q34"/>
    <mergeCell ref="R34:T34"/>
    <mergeCell ref="M35:N35"/>
    <mergeCell ref="O35:Q35"/>
    <mergeCell ref="R35:T35"/>
    <mergeCell ref="U35:V35"/>
    <mergeCell ref="AE31:AF31"/>
    <mergeCell ref="C32:G36"/>
    <mergeCell ref="H32:J36"/>
    <mergeCell ref="K32:V32"/>
    <mergeCell ref="AE32:AF32"/>
    <mergeCell ref="K33:N33"/>
    <mergeCell ref="P33:V33"/>
    <mergeCell ref="Z33:AA33"/>
    <mergeCell ref="AB33:AC33"/>
    <mergeCell ref="M34:N34"/>
    <mergeCell ref="C29:G31"/>
    <mergeCell ref="H29:J31"/>
    <mergeCell ref="K29:Q31"/>
    <mergeCell ref="R29:V29"/>
    <mergeCell ref="R30:V30"/>
    <mergeCell ref="R31:V31"/>
    <mergeCell ref="M36:N36"/>
    <mergeCell ref="O36:Q36"/>
    <mergeCell ref="C27:G27"/>
    <mergeCell ref="H27:J27"/>
    <mergeCell ref="K27:V27"/>
    <mergeCell ref="Z27:AA27"/>
    <mergeCell ref="C28:G28"/>
    <mergeCell ref="H28:J28"/>
    <mergeCell ref="K28:V28"/>
    <mergeCell ref="Z28:AA28"/>
    <mergeCell ref="C26:G26"/>
    <mergeCell ref="H26:J26"/>
    <mergeCell ref="K26:N26"/>
    <mergeCell ref="O26:P26"/>
    <mergeCell ref="Q26:V26"/>
    <mergeCell ref="Z26:AA26"/>
    <mergeCell ref="K21:V21"/>
    <mergeCell ref="Z21:AA21"/>
    <mergeCell ref="C24:G24"/>
    <mergeCell ref="H24:J24"/>
    <mergeCell ref="K24:V24"/>
    <mergeCell ref="X24:X25"/>
    <mergeCell ref="Z24:AA24"/>
    <mergeCell ref="C25:G25"/>
    <mergeCell ref="H25:J25"/>
    <mergeCell ref="K25:V25"/>
    <mergeCell ref="Z25:AA25"/>
    <mergeCell ref="AD17:AE17"/>
    <mergeCell ref="C18:G18"/>
    <mergeCell ref="H18:J18"/>
    <mergeCell ref="K18:V18"/>
    <mergeCell ref="Z18:AA18"/>
    <mergeCell ref="C19:G19"/>
    <mergeCell ref="H19:J19"/>
    <mergeCell ref="K19:V19"/>
    <mergeCell ref="X19:X23"/>
    <mergeCell ref="Z19:AA19"/>
    <mergeCell ref="C20:G20"/>
    <mergeCell ref="H20:J20"/>
    <mergeCell ref="C22:G22"/>
    <mergeCell ref="H22:J22"/>
    <mergeCell ref="K22:V22"/>
    <mergeCell ref="Z22:AA22"/>
    <mergeCell ref="C23:G23"/>
    <mergeCell ref="H23:J23"/>
    <mergeCell ref="K23:V23"/>
    <mergeCell ref="Z23:AA23"/>
    <mergeCell ref="K20:V20"/>
    <mergeCell ref="Z20:AA20"/>
    <mergeCell ref="C21:G21"/>
    <mergeCell ref="H21:J21"/>
    <mergeCell ref="AB14:AC14"/>
    <mergeCell ref="C15:G15"/>
    <mergeCell ref="H15:J15"/>
    <mergeCell ref="K15:V15"/>
    <mergeCell ref="C16:G16"/>
    <mergeCell ref="H16:J16"/>
    <mergeCell ref="K16:V16"/>
    <mergeCell ref="X16:X17"/>
    <mergeCell ref="AA16:AA17"/>
    <mergeCell ref="C17:G17"/>
    <mergeCell ref="C14:G14"/>
    <mergeCell ref="H14:J14"/>
    <mergeCell ref="K14:V14"/>
    <mergeCell ref="X14:X15"/>
    <mergeCell ref="AA14:AA15"/>
    <mergeCell ref="H17:J17"/>
    <mergeCell ref="K17:V17"/>
    <mergeCell ref="X11:X12"/>
    <mergeCell ref="Z11:AA11"/>
    <mergeCell ref="AC11:AD12"/>
    <mergeCell ref="Z12:AA12"/>
    <mergeCell ref="Z13:AA13"/>
    <mergeCell ref="AC13:AD13"/>
    <mergeCell ref="Z6:AA6"/>
    <mergeCell ref="Z7:AA7"/>
    <mergeCell ref="Z8:AA8"/>
    <mergeCell ref="Z9:AA9"/>
    <mergeCell ref="A5:C5"/>
    <mergeCell ref="D5:G5"/>
    <mergeCell ref="H5:I5"/>
    <mergeCell ref="J5:K5"/>
    <mergeCell ref="M5:N5"/>
    <mergeCell ref="A10:T10"/>
    <mergeCell ref="Z10:AA10"/>
    <mergeCell ref="O5:Q5"/>
    <mergeCell ref="R5:S5"/>
    <mergeCell ref="T5:V5"/>
    <mergeCell ref="Z5:AA5"/>
    <mergeCell ref="A6:C6"/>
    <mergeCell ref="D6:F6"/>
    <mergeCell ref="H6:I6"/>
    <mergeCell ref="J6:K6"/>
    <mergeCell ref="M6:N6"/>
    <mergeCell ref="O6:Q6"/>
    <mergeCell ref="A1:V2"/>
    <mergeCell ref="Z1:AA1"/>
    <mergeCell ref="X2:Y2"/>
    <mergeCell ref="Z2:AA2"/>
    <mergeCell ref="Z3:AA3"/>
    <mergeCell ref="AC3:AD3"/>
    <mergeCell ref="A4:C4"/>
    <mergeCell ref="D4:H4"/>
    <mergeCell ref="I4:J4"/>
    <mergeCell ref="K4:V4"/>
    <mergeCell ref="Z4:AA4"/>
  </mergeCells>
  <phoneticPr fontId="1"/>
  <conditionalFormatting sqref="A10">
    <cfRule type="cellIs" dxfId="29" priority="2" operator="equal">
      <formula>"※チェックボックスはいずれかひとつを選択してください。"</formula>
    </cfRule>
  </conditionalFormatting>
  <conditionalFormatting sqref="H20">
    <cfRule type="cellIs" priority="6" operator="equal">
      <formula>"-"</formula>
    </cfRule>
  </conditionalFormatting>
  <conditionalFormatting sqref="K18">
    <cfRule type="cellIs" dxfId="28" priority="3" operator="equal">
      <formula>"プルダウンで「－」を選択してください。"</formula>
    </cfRule>
  </conditionalFormatting>
  <conditionalFormatting sqref="K20">
    <cfRule type="cellIs" dxfId="27" priority="5" operator="equal">
      <formula>"プルダウンで「－」を選択してください。"</formula>
    </cfRule>
  </conditionalFormatting>
  <conditionalFormatting sqref="K21:K22">
    <cfRule type="cellIs" dxfId="26" priority="4" operator="equal">
      <formula>"左記の数値を削除してください。"</formula>
    </cfRule>
  </conditionalFormatting>
  <conditionalFormatting sqref="K20:V20">
    <cfRule type="cellIs" dxfId="25" priority="1" operator="equal">
      <formula>"プルダウン選択してください。"</formula>
    </cfRule>
  </conditionalFormatting>
  <conditionalFormatting sqref="P33">
    <cfRule type="cellIs" dxfId="24" priority="7" operator="equal">
      <formula>"下記の数値を削除してください"</formula>
    </cfRule>
    <cfRule type="cellIs" dxfId="23" priority="8" operator="equal">
      <formula>"下記へ数値入力してください。"</formula>
    </cfRule>
  </conditionalFormatting>
  <conditionalFormatting sqref="Q37:R37">
    <cfRule type="cellIs" dxfId="22" priority="10" operator="equal">
      <formula>"下記へ数値入力してください。"</formula>
    </cfRule>
  </conditionalFormatting>
  <conditionalFormatting sqref="R29 Q37:V37">
    <cfRule type="cellIs" dxfId="21" priority="9" operator="equal">
      <formula>"下記の数値を削除してください"</formula>
    </cfRule>
  </conditionalFormatting>
  <conditionalFormatting sqref="R29">
    <cfRule type="cellIs" dxfId="20" priority="11" operator="equal">
      <formula>"下記へ数値入力してください。"</formula>
    </cfRule>
  </conditionalFormatting>
  <dataValidations count="13">
    <dataValidation type="list" allowBlank="1" showInputMessage="1" showErrorMessage="1" sqref="H18" xr:uid="{E5CB61C3-1B53-49BF-92A3-8C0B0E052DE2}">
      <formula1>$AE$6:$AE$9</formula1>
    </dataValidation>
    <dataValidation type="list" allowBlank="1" showInputMessage="1" showErrorMessage="1" sqref="H27" xr:uid="{93A312BC-BBDF-4414-9305-908EC875ABEC}">
      <formula1>$Y$6:$Y$8</formula1>
    </dataValidation>
    <dataValidation type="list" allowBlank="1" showInputMessage="1" showErrorMessage="1" sqref="H29:J31" xr:uid="{964FD7F1-2C04-4D52-AE80-7EB521AAC3F5}">
      <formula1>$Y$3:$Y$5</formula1>
    </dataValidation>
    <dataValidation type="list" allowBlank="1" showInputMessage="1" showErrorMessage="1" sqref="H19" xr:uid="{4845D912-B86F-4A59-B74A-DEA71D14A8FA}">
      <formula1>$AE$4:$AE$5</formula1>
    </dataValidation>
    <dataValidation type="list" allowBlank="1" showInputMessage="1" showErrorMessage="1" sqref="S7:V7 D5:D7" xr:uid="{D88E1B58-2121-4054-95A5-2668A35887F5}">
      <formula1>$AG$3:$AG$5</formula1>
    </dataValidation>
    <dataValidation type="list" allowBlank="1" showInputMessage="1" showErrorMessage="1" sqref="L73:L75 L69:L71" xr:uid="{753B36DC-9B4D-4611-8484-2463DCD73439}">
      <formula1>INDIRECT(AE69)</formula1>
    </dataValidation>
    <dataValidation type="list" allowBlank="1" showInputMessage="1" showErrorMessage="1" sqref="H20" xr:uid="{C63AE694-5AAF-4B21-B110-0B71F2E10694}">
      <formula1>$AE$11:$AE$12</formula1>
    </dataValidation>
    <dataValidation type="list" allowBlank="1" showInputMessage="1" showErrorMessage="1" sqref="H32" xr:uid="{E7198666-C17F-4775-B37D-A7605467D8B3}">
      <formula1>$Y$11:$Y$12</formula1>
    </dataValidation>
    <dataValidation type="list" allowBlank="1" showInputMessage="1" showErrorMessage="1" sqref="H92:H93 H89:H90 H86:H87 H95:H96" xr:uid="{81E34FE1-1BD4-44BA-9F2E-3F51B5AA71FC}">
      <formula1>INDIRECT(D86)</formula1>
    </dataValidation>
    <dataValidation type="list" allowBlank="1" showInputMessage="1" showErrorMessage="1" sqref="I73:I75 I69:I71" xr:uid="{F3F8082B-8CC1-4A30-A24D-5D703F953BC5}">
      <formula1>INDIRECT(D69)</formula1>
    </dataValidation>
    <dataValidation type="list" allowBlank="1" showInputMessage="1" showErrorMessage="1" sqref="H28" xr:uid="{A191DCC1-CB71-41FE-840D-332358028783}">
      <formula1>$Y$19:$Y$23</formula1>
    </dataValidation>
    <dataValidation type="list" allowBlank="1" showInputMessage="1" showErrorMessage="1" sqref="J89:J90 J86:J87 J92:J93 J95:J96" xr:uid="{8575B34C-A739-4849-AE86-111C18073A2E}">
      <formula1>INDIRECT(AD88)</formula1>
    </dataValidation>
    <dataValidation type="list" allowBlank="1" showInputMessage="1" showErrorMessage="1" sqref="H37" xr:uid="{A2ADF859-6372-458E-AD3C-538A14ACE231}">
      <formula1>$Y$24:$Y$25</formula1>
    </dataValidation>
  </dataValidations>
  <hyperlinks>
    <hyperlink ref="S62:U62" location="表計算ツールの解説・注意事項!A247" display="こちら。" xr:uid="{F0048F48-1212-4ADC-89F3-E2F1E2571E70}"/>
    <hyperlink ref="I55" location="表計算ツールの解説・注意事項!A139" display="こちら。" xr:uid="{FD052A37-F70F-41DC-8AE2-8C276D4BE2EF}"/>
    <hyperlink ref="I65" location="表計算ツールの解説・注意事項!A204" display="こちら。" xr:uid="{E62F5593-E84A-4B58-B77E-6ECAFCB2AB18}"/>
    <hyperlink ref="H41" location="表計算ツールの解説・注意事項!A79" display="こちら。" xr:uid="{86290709-766D-45DD-B130-E0DCD66E43B5}"/>
    <hyperlink ref="I79" location="表計算ツールの解説・注意事項!A215" display="こちら。" xr:uid="{85D16698-56E5-455B-98C8-4E9742BF840A}"/>
  </hyperlinks>
  <pageMargins left="0.70866141732283472" right="0.70866141732283472" top="0.74803149606299213" bottom="0.74803149606299213" header="0.31496062992125984" footer="0.31496062992125984"/>
  <pageSetup paperSize="9" scale="68" fitToHeight="0" orientation="portrait" r:id="rId1"/>
  <rowBreaks count="1" manualBreakCount="1">
    <brk id="63" max="32" man="1"/>
  </rowBreaks>
  <colBreaks count="1" manualBreakCount="1">
    <brk id="22" max="100"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0</xdr:colOff>
                    <xdr:row>63</xdr:row>
                    <xdr:rowOff>0</xdr:rowOff>
                  </from>
                  <to>
                    <xdr:col>1</xdr:col>
                    <xdr:colOff>19050</xdr:colOff>
                    <xdr:row>64</xdr:row>
                    <xdr:rowOff>38100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28575</xdr:colOff>
                    <xdr:row>77</xdr:row>
                    <xdr:rowOff>28575</xdr:rowOff>
                  </from>
                  <to>
                    <xdr:col>0</xdr:col>
                    <xdr:colOff>266700</xdr:colOff>
                    <xdr:row>78</xdr:row>
                    <xdr:rowOff>38100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0</xdr:colOff>
                    <xdr:row>52</xdr:row>
                    <xdr:rowOff>219075</xdr:rowOff>
                  </from>
                  <to>
                    <xdr:col>1</xdr:col>
                    <xdr:colOff>19050</xdr:colOff>
                    <xdr:row>54</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19050</xdr:colOff>
                    <xdr:row>7</xdr:row>
                    <xdr:rowOff>180975</xdr:rowOff>
                  </from>
                  <to>
                    <xdr:col>1</xdr:col>
                    <xdr:colOff>66675</xdr:colOff>
                    <xdr:row>9</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7</xdr:col>
                    <xdr:colOff>123825</xdr:colOff>
                    <xdr:row>7</xdr:row>
                    <xdr:rowOff>152400</xdr:rowOff>
                  </from>
                  <to>
                    <xdr:col>8</xdr:col>
                    <xdr:colOff>66675</xdr:colOff>
                    <xdr:row>9</xdr:row>
                    <xdr:rowOff>47625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12</xdr:col>
                    <xdr:colOff>95250</xdr:colOff>
                    <xdr:row>8</xdr:row>
                    <xdr:rowOff>0</xdr:rowOff>
                  </from>
                  <to>
                    <xdr:col>12</xdr:col>
                    <xdr:colOff>371475</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B76581E-0555-489D-A92A-A2C14F61897E}">
          <x14:formula1>
            <xm:f>柱の圧縮基準強度!$I$1:$M$1</xm:f>
          </x14:formula1>
          <xm:sqref>D69:D71 D73:D75 D89:D90 D86:D87 D92:D93 D95:D96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Q98"/>
  <sheetViews>
    <sheetView view="pageBreakPreview" topLeftCell="A16" zoomScale="92" zoomScaleNormal="92" zoomScaleSheetLayoutView="92" workbookViewId="0">
      <selection activeCell="C42" sqref="C42:E45"/>
    </sheetView>
  </sheetViews>
  <sheetFormatPr defaultRowHeight="18.75"/>
  <cols>
    <col min="1" max="1" width="3.625" customWidth="1"/>
    <col min="2" max="2" width="6.125" style="7" customWidth="1"/>
    <col min="3" max="3" width="4.25" customWidth="1"/>
    <col min="4" max="7" width="5.125" customWidth="1"/>
    <col min="8" max="9" width="5.125" style="4" customWidth="1"/>
    <col min="10" max="13" width="5.125" customWidth="1"/>
    <col min="14" max="14" width="2.875" customWidth="1"/>
    <col min="15" max="15" width="5.125" customWidth="1"/>
    <col min="16" max="16" width="3.875" customWidth="1"/>
    <col min="17" max="17" width="5.125" customWidth="1"/>
    <col min="18" max="18" width="3.875" customWidth="1"/>
    <col min="19" max="22" width="5.125" style="5" customWidth="1"/>
    <col min="23" max="33" width="12.375" style="7" hidden="1" customWidth="1"/>
    <col min="34" max="35" width="12.375" customWidth="1"/>
    <col min="36" max="38" width="11.25" customWidth="1"/>
  </cols>
  <sheetData>
    <row r="1" spans="1:35" ht="17.100000000000001" customHeight="1">
      <c r="A1" s="395" t="s">
        <v>615</v>
      </c>
      <c r="B1" s="395"/>
      <c r="C1" s="395"/>
      <c r="D1" s="395"/>
      <c r="E1" s="395"/>
      <c r="F1" s="395"/>
      <c r="G1" s="395"/>
      <c r="H1" s="395"/>
      <c r="I1" s="395"/>
      <c r="J1" s="395"/>
      <c r="K1" s="395"/>
      <c r="L1" s="395"/>
      <c r="M1" s="395"/>
      <c r="N1" s="395"/>
      <c r="O1" s="395"/>
      <c r="P1" s="395"/>
      <c r="Q1" s="395"/>
      <c r="R1" s="395"/>
      <c r="S1" s="395"/>
      <c r="T1" s="395"/>
      <c r="U1" s="395"/>
      <c r="V1" s="395"/>
      <c r="W1" s="126"/>
      <c r="X1" s="288"/>
      <c r="Y1" s="136"/>
      <c r="Z1" s="396" t="s">
        <v>548</v>
      </c>
      <c r="AA1" s="397"/>
      <c r="AB1" s="125"/>
      <c r="AC1" s="126"/>
      <c r="AD1" s="126"/>
      <c r="AE1" s="126"/>
      <c r="AF1" s="126"/>
      <c r="AG1" s="126"/>
    </row>
    <row r="2" spans="1:35" ht="17.100000000000001" customHeight="1">
      <c r="A2" s="395"/>
      <c r="B2" s="395"/>
      <c r="C2" s="395"/>
      <c r="D2" s="395"/>
      <c r="E2" s="395"/>
      <c r="F2" s="395"/>
      <c r="G2" s="395"/>
      <c r="H2" s="395"/>
      <c r="I2" s="395"/>
      <c r="J2" s="395"/>
      <c r="K2" s="395"/>
      <c r="L2" s="395"/>
      <c r="M2" s="395"/>
      <c r="N2" s="395"/>
      <c r="O2" s="395"/>
      <c r="P2" s="395"/>
      <c r="Q2" s="395"/>
      <c r="R2" s="395"/>
      <c r="S2" s="395"/>
      <c r="T2" s="395"/>
      <c r="U2" s="395"/>
      <c r="V2" s="395"/>
      <c r="W2" s="126"/>
      <c r="X2" s="398" t="s">
        <v>458</v>
      </c>
      <c r="Y2" s="399"/>
      <c r="Z2" s="400">
        <f>(16.5+H23*2)*(6+H23*2)*SQRT(H24^2+10^2)/(16.5*6)/10</f>
        <v>1</v>
      </c>
      <c r="AA2" s="401"/>
      <c r="AB2" s="125">
        <f>SQRT(H24^2+10^2)/10</f>
        <v>1</v>
      </c>
      <c r="AC2" s="126"/>
      <c r="AD2" s="126"/>
      <c r="AE2" s="126"/>
      <c r="AF2" s="126"/>
      <c r="AG2" s="126"/>
    </row>
    <row r="3" spans="1:35" ht="17.100000000000001" customHeight="1" thickBot="1">
      <c r="A3" s="41"/>
      <c r="S3"/>
      <c r="T3"/>
      <c r="U3"/>
      <c r="V3" s="378" t="s">
        <v>650</v>
      </c>
      <c r="W3" s="126"/>
      <c r="X3" s="289" t="s">
        <v>6</v>
      </c>
      <c r="Y3" s="137" t="s">
        <v>146</v>
      </c>
      <c r="Z3" s="402">
        <v>0</v>
      </c>
      <c r="AA3" s="403"/>
      <c r="AB3" s="128"/>
      <c r="AC3" s="404" t="s">
        <v>36</v>
      </c>
      <c r="AD3" s="404"/>
      <c r="AE3" s="132" t="s">
        <v>40</v>
      </c>
      <c r="AF3" s="126"/>
      <c r="AG3" s="126" t="s">
        <v>531</v>
      </c>
      <c r="AH3" s="5"/>
      <c r="AI3" s="5"/>
    </row>
    <row r="4" spans="1:35" ht="17.100000000000001" customHeight="1" thickBot="1">
      <c r="A4" s="405" t="s">
        <v>31</v>
      </c>
      <c r="B4" s="406"/>
      <c r="C4" s="406"/>
      <c r="D4" s="407"/>
      <c r="E4" s="408"/>
      <c r="F4" s="408"/>
      <c r="G4" s="408"/>
      <c r="H4" s="409"/>
      <c r="I4" s="405" t="s">
        <v>29</v>
      </c>
      <c r="J4" s="406"/>
      <c r="K4" s="410"/>
      <c r="L4" s="410"/>
      <c r="M4" s="410"/>
      <c r="N4" s="410"/>
      <c r="O4" s="410"/>
      <c r="P4" s="410"/>
      <c r="Q4" s="410"/>
      <c r="R4" s="410"/>
      <c r="S4" s="410"/>
      <c r="T4" s="410"/>
      <c r="U4" s="410"/>
      <c r="V4" s="411"/>
      <c r="W4" s="126"/>
      <c r="X4" s="205"/>
      <c r="Y4" s="380" t="s">
        <v>617</v>
      </c>
      <c r="Z4" s="412">
        <f>200*Z2</f>
        <v>200</v>
      </c>
      <c r="AA4" s="413"/>
      <c r="AB4" s="128"/>
      <c r="AC4" s="876" t="s">
        <v>3</v>
      </c>
      <c r="AD4" s="876" t="s">
        <v>0</v>
      </c>
      <c r="AE4" s="290">
        <v>0.2</v>
      </c>
      <c r="AF4" s="126"/>
      <c r="AG4" s="126" t="s">
        <v>532</v>
      </c>
      <c r="AH4" s="5"/>
    </row>
    <row r="5" spans="1:35" ht="17.100000000000001" customHeight="1" thickBot="1">
      <c r="A5" s="414" t="s">
        <v>590</v>
      </c>
      <c r="B5" s="415"/>
      <c r="C5" s="415"/>
      <c r="D5" s="416"/>
      <c r="E5" s="417"/>
      <c r="F5" s="417"/>
      <c r="G5" s="418"/>
      <c r="H5" s="419" t="s">
        <v>591</v>
      </c>
      <c r="I5" s="420"/>
      <c r="J5" s="421"/>
      <c r="K5" s="421"/>
      <c r="L5" s="369" t="str">
        <f>IF(D5="一級建築士","大臣",IF(D5="","","知事"))</f>
        <v/>
      </c>
      <c r="M5" s="422" t="s">
        <v>592</v>
      </c>
      <c r="N5" s="422"/>
      <c r="O5" s="421"/>
      <c r="P5" s="421"/>
      <c r="Q5" s="426"/>
      <c r="R5" s="427" t="s">
        <v>593</v>
      </c>
      <c r="S5" s="428"/>
      <c r="T5" s="429"/>
      <c r="U5" s="430"/>
      <c r="V5" s="431"/>
      <c r="W5" s="126"/>
      <c r="X5" s="291"/>
      <c r="Y5" s="129" t="s">
        <v>147</v>
      </c>
      <c r="Z5" s="432" t="e">
        <f>R29/H22*9.8</f>
        <v>#DIV/0!</v>
      </c>
      <c r="AA5" s="433"/>
      <c r="AB5" s="126"/>
      <c r="AC5" s="878"/>
      <c r="AD5" s="878"/>
      <c r="AE5" s="290">
        <v>0.3</v>
      </c>
      <c r="AF5" s="126"/>
      <c r="AG5" s="126" t="s">
        <v>533</v>
      </c>
    </row>
    <row r="6" spans="1:35" ht="17.100000000000001" customHeight="1" thickBot="1">
      <c r="A6" s="414" t="s">
        <v>594</v>
      </c>
      <c r="B6" s="415"/>
      <c r="C6" s="415"/>
      <c r="D6" s="416"/>
      <c r="E6" s="417"/>
      <c r="F6" s="417"/>
      <c r="G6" s="368" t="s">
        <v>465</v>
      </c>
      <c r="H6" s="419" t="s">
        <v>591</v>
      </c>
      <c r="I6" s="420"/>
      <c r="J6" s="421"/>
      <c r="K6" s="421"/>
      <c r="L6" s="369" t="s">
        <v>595</v>
      </c>
      <c r="M6" s="422" t="s">
        <v>592</v>
      </c>
      <c r="N6" s="422"/>
      <c r="O6" s="421"/>
      <c r="P6" s="421"/>
      <c r="Q6" s="434"/>
      <c r="R6" s="367"/>
      <c r="S6" s="367"/>
      <c r="T6" s="367"/>
      <c r="U6" s="367"/>
      <c r="V6" s="367"/>
      <c r="W6" s="243"/>
      <c r="X6" s="292" t="s">
        <v>15</v>
      </c>
      <c r="Y6" s="130" t="s">
        <v>9</v>
      </c>
      <c r="Z6" s="446">
        <f>990*Z2</f>
        <v>990</v>
      </c>
      <c r="AA6" s="447"/>
      <c r="AB6" s="126"/>
      <c r="AC6" s="876" t="s">
        <v>4</v>
      </c>
      <c r="AD6" s="879" t="s">
        <v>1</v>
      </c>
      <c r="AE6" s="293" t="str">
        <f>IF($C$17="ー","ー","1.0")</f>
        <v>ー</v>
      </c>
      <c r="AF6" s="882">
        <f>IF($C$17="ー",1,$H$17)</f>
        <v>1</v>
      </c>
      <c r="AG6" s="126"/>
    </row>
    <row r="7" spans="1:35" ht="17.100000000000001" customHeight="1">
      <c r="A7" s="52"/>
      <c r="B7" s="52"/>
      <c r="C7" s="52"/>
      <c r="D7" s="52"/>
      <c r="E7" s="52"/>
      <c r="F7" s="350"/>
      <c r="G7" s="52"/>
      <c r="H7" s="52"/>
      <c r="I7" s="336"/>
      <c r="J7" s="336"/>
      <c r="K7" s="7"/>
      <c r="L7" s="336"/>
      <c r="M7" s="336"/>
      <c r="N7" s="336"/>
      <c r="O7" s="336"/>
      <c r="P7" s="336"/>
      <c r="Q7" s="204"/>
      <c r="R7" s="204"/>
      <c r="S7" s="204"/>
      <c r="T7" s="204"/>
      <c r="U7" s="204"/>
      <c r="V7" s="204"/>
      <c r="W7" s="294"/>
      <c r="X7" s="295"/>
      <c r="Y7" s="127" t="s">
        <v>10</v>
      </c>
      <c r="Z7" s="448">
        <f>740*Z2</f>
        <v>740</v>
      </c>
      <c r="AA7" s="449"/>
      <c r="AB7" s="126"/>
      <c r="AC7" s="877"/>
      <c r="AD7" s="880"/>
      <c r="AE7" s="293" t="str">
        <f>IF($C$17="ー","","0.9")</f>
        <v/>
      </c>
      <c r="AF7" s="882"/>
      <c r="AG7" s="126"/>
    </row>
    <row r="8" spans="1:35" s="8" customFormat="1" ht="17.100000000000001" customHeight="1">
      <c r="A8" s="234" t="s">
        <v>479</v>
      </c>
      <c r="B8" s="43"/>
      <c r="C8" s="4"/>
      <c r="D8" s="4"/>
      <c r="E8" s="4"/>
      <c r="F8" s="4"/>
      <c r="G8" s="4"/>
      <c r="H8"/>
      <c r="I8"/>
      <c r="J8" s="4"/>
      <c r="K8" s="4"/>
      <c r="L8" s="4"/>
      <c r="M8" s="4"/>
      <c r="N8" s="4"/>
      <c r="O8" s="4"/>
      <c r="P8" s="4"/>
      <c r="Q8" s="4"/>
      <c r="R8" s="4"/>
      <c r="S8" s="4"/>
      <c r="T8" s="4"/>
      <c r="U8" s="351"/>
      <c r="V8" s="4"/>
      <c r="W8" s="199" t="b">
        <v>0</v>
      </c>
      <c r="X8" s="296"/>
      <c r="Y8" s="129" t="s">
        <v>11</v>
      </c>
      <c r="Z8" s="450">
        <f>500*Z2</f>
        <v>500</v>
      </c>
      <c r="AA8" s="451"/>
      <c r="AB8" s="126"/>
      <c r="AC8" s="877"/>
      <c r="AD8" s="880"/>
      <c r="AE8" s="293" t="str">
        <f>IF($C$17="ー","","0.8")</f>
        <v/>
      </c>
      <c r="AF8" s="882"/>
      <c r="AG8" s="126"/>
      <c r="AH8"/>
      <c r="AI8"/>
    </row>
    <row r="9" spans="1:35" ht="17.100000000000001" customHeight="1">
      <c r="A9" s="235"/>
      <c r="B9" s="67" t="s">
        <v>477</v>
      </c>
      <c r="C9" s="4"/>
      <c r="D9" s="4"/>
      <c r="E9" s="4"/>
      <c r="F9" s="4"/>
      <c r="G9" s="4"/>
      <c r="H9" s="67"/>
      <c r="I9" s="67" t="s">
        <v>476</v>
      </c>
      <c r="J9" s="4"/>
      <c r="K9" s="4"/>
      <c r="L9" s="4"/>
      <c r="M9" s="236"/>
      <c r="N9" s="236" t="s">
        <v>478</v>
      </c>
      <c r="O9" s="4"/>
      <c r="P9" s="4"/>
      <c r="Q9" s="4"/>
      <c r="R9" s="4"/>
      <c r="S9" s="4"/>
      <c r="T9" s="4"/>
      <c r="U9" s="351"/>
      <c r="V9" s="4"/>
      <c r="W9" s="199" t="b">
        <v>0</v>
      </c>
      <c r="X9" s="205" t="s">
        <v>459</v>
      </c>
      <c r="Y9" s="127" t="s">
        <v>301</v>
      </c>
      <c r="Z9" s="452">
        <f>IF(H19="あり(多雪区域)",IF(H20*H21*0.35*Z2/AB2&gt;0,H20*H21*0.35*Z2/AB2,"記入無し"),0)</f>
        <v>0</v>
      </c>
      <c r="AA9" s="453"/>
      <c r="AB9" s="126"/>
      <c r="AC9" s="878"/>
      <c r="AD9" s="881"/>
      <c r="AE9" s="293" t="str">
        <f>IF($C$17="ー","","0.7")</f>
        <v/>
      </c>
      <c r="AF9" s="882"/>
      <c r="AG9" s="126"/>
      <c r="AH9" s="8"/>
      <c r="AI9" s="8"/>
    </row>
    <row r="10" spans="1:35" ht="17.100000000000001" customHeight="1">
      <c r="A10" s="423" t="str">
        <f>IF(W11&gt;1,"※チェックボックスはいずれかひとつを選択してください。","")</f>
        <v/>
      </c>
      <c r="B10" s="423"/>
      <c r="C10" s="423"/>
      <c r="D10" s="423"/>
      <c r="E10" s="423"/>
      <c r="F10" s="423"/>
      <c r="G10" s="423"/>
      <c r="H10" s="423"/>
      <c r="I10" s="423"/>
      <c r="J10" s="423"/>
      <c r="K10" s="423"/>
      <c r="L10" s="423"/>
      <c r="M10" s="423"/>
      <c r="N10" s="423"/>
      <c r="O10" s="423"/>
      <c r="P10" s="423"/>
      <c r="Q10" s="423"/>
      <c r="R10" s="423"/>
      <c r="S10" s="423"/>
      <c r="T10" s="423"/>
      <c r="U10" s="40"/>
      <c r="V10" s="4"/>
      <c r="W10" s="199" t="b">
        <v>0</v>
      </c>
      <c r="X10" s="206"/>
      <c r="Y10" s="207"/>
      <c r="Z10" s="424"/>
      <c r="AA10" s="425"/>
      <c r="AB10" s="126"/>
      <c r="AC10" s="159" t="s">
        <v>5</v>
      </c>
      <c r="AD10" s="159" t="s">
        <v>2</v>
      </c>
      <c r="AE10" s="297">
        <v>1</v>
      </c>
      <c r="AF10" s="126"/>
      <c r="AG10" s="126"/>
    </row>
    <row r="11" spans="1:35" ht="17.100000000000001" customHeight="1">
      <c r="A11" s="44" t="s">
        <v>276</v>
      </c>
      <c r="K11" s="4"/>
      <c r="L11" s="4"/>
      <c r="M11" s="4"/>
      <c r="N11" s="4"/>
      <c r="O11" s="4"/>
      <c r="P11" s="4"/>
      <c r="Q11" s="4"/>
      <c r="R11" s="4"/>
      <c r="S11" s="4"/>
      <c r="T11" s="4"/>
      <c r="U11" s="4"/>
      <c r="V11" s="4"/>
      <c r="W11" s="126">
        <f>COUNTIF(W8:W10,TRUE)</f>
        <v>0</v>
      </c>
      <c r="X11" s="435" t="s">
        <v>462</v>
      </c>
      <c r="Y11" s="131" t="s">
        <v>463</v>
      </c>
      <c r="Z11" s="402">
        <v>100</v>
      </c>
      <c r="AA11" s="403"/>
      <c r="AB11" s="126"/>
      <c r="AC11" s="437" t="s">
        <v>480</v>
      </c>
      <c r="AD11" s="438"/>
      <c r="AE11" s="297" t="str">
        <f>IF($C$19="ー","ー","なし(一般区域)")</f>
        <v>ー</v>
      </c>
      <c r="AF11" s="126"/>
      <c r="AG11" s="126"/>
    </row>
    <row r="12" spans="1:35" ht="23.25" customHeight="1" thickBot="1">
      <c r="A12" s="45" t="s">
        <v>636</v>
      </c>
      <c r="B12" s="46"/>
      <c r="C12" s="8"/>
      <c r="D12" s="8"/>
      <c r="E12" s="8"/>
      <c r="F12" s="8"/>
      <c r="G12" s="8"/>
      <c r="H12" s="47"/>
      <c r="I12" s="47"/>
      <c r="J12" s="8"/>
      <c r="K12" s="47"/>
      <c r="L12" s="47"/>
      <c r="M12" s="47"/>
      <c r="N12" s="47"/>
      <c r="O12" s="47"/>
      <c r="P12" s="47"/>
      <c r="Q12" s="47"/>
      <c r="R12" s="47"/>
      <c r="S12" s="237"/>
      <c r="T12" s="237"/>
      <c r="U12" s="237"/>
      <c r="V12" s="237"/>
      <c r="W12" s="126"/>
      <c r="X12" s="436"/>
      <c r="Y12" s="133" t="s">
        <v>145</v>
      </c>
      <c r="Z12" s="441" t="e">
        <f>(ROUNDUP(O33*R33*U33/1000*9.8,-1)+ROUNDUP(O34*R34*U34/1000*9.8,-1))/H22</f>
        <v>#DIV/0!</v>
      </c>
      <c r="AA12" s="442"/>
      <c r="AB12" s="126"/>
      <c r="AC12" s="439"/>
      <c r="AD12" s="440"/>
      <c r="AE12" s="297" t="str">
        <f>IF($C$19="ー","ー","あり(多雪区域)")</f>
        <v>ー</v>
      </c>
      <c r="AF12" s="126"/>
      <c r="AG12" s="126"/>
    </row>
    <row r="13" spans="1:35" ht="17.100000000000001" customHeight="1" thickBot="1">
      <c r="S13" s="7"/>
      <c r="T13" s="7"/>
      <c r="U13" s="7"/>
      <c r="V13" s="7"/>
      <c r="W13" s="126"/>
      <c r="X13" s="298" t="s">
        <v>20</v>
      </c>
      <c r="Y13" s="134"/>
      <c r="Z13" s="443">
        <v>610</v>
      </c>
      <c r="AA13" s="444"/>
      <c r="AB13" s="299"/>
      <c r="AC13" s="445" t="s">
        <v>164</v>
      </c>
      <c r="AD13" s="445"/>
      <c r="AE13" s="132">
        <v>1</v>
      </c>
      <c r="AF13" s="126"/>
      <c r="AG13" s="126"/>
    </row>
    <row r="14" spans="1:35" ht="17.100000000000001" customHeight="1" thickBot="1">
      <c r="B14" s="640" t="s">
        <v>371</v>
      </c>
      <c r="C14" s="476" t="s">
        <v>36</v>
      </c>
      <c r="D14" s="477"/>
      <c r="E14" s="477"/>
      <c r="F14" s="477"/>
      <c r="G14" s="478"/>
      <c r="H14" s="479" t="s">
        <v>37</v>
      </c>
      <c r="I14" s="480"/>
      <c r="J14" s="480"/>
      <c r="K14" s="405" t="s">
        <v>151</v>
      </c>
      <c r="L14" s="406"/>
      <c r="M14" s="406"/>
      <c r="N14" s="406"/>
      <c r="O14" s="406"/>
      <c r="P14" s="406"/>
      <c r="Q14" s="406"/>
      <c r="R14" s="406"/>
      <c r="S14" s="406"/>
      <c r="T14" s="406"/>
      <c r="U14" s="406"/>
      <c r="V14" s="481"/>
      <c r="W14" s="126"/>
      <c r="X14" s="469" t="s">
        <v>481</v>
      </c>
      <c r="Y14" s="210" t="s">
        <v>464</v>
      </c>
      <c r="Z14" s="208">
        <v>600</v>
      </c>
      <c r="AA14" s="471">
        <f>IF($W$9=TRUE,Z15,Z14)</f>
        <v>600</v>
      </c>
      <c r="AB14" s="454" t="s">
        <v>152</v>
      </c>
      <c r="AC14" s="454"/>
      <c r="AD14" s="299"/>
      <c r="AE14" s="299"/>
      <c r="AF14" s="299"/>
      <c r="AG14" s="126"/>
    </row>
    <row r="15" spans="1:35" ht="17.100000000000001" customHeight="1">
      <c r="B15" s="641"/>
      <c r="C15" s="885" t="s">
        <v>26</v>
      </c>
      <c r="D15" s="886"/>
      <c r="E15" s="886"/>
      <c r="F15" s="886"/>
      <c r="G15" s="886"/>
      <c r="H15" s="484"/>
      <c r="I15" s="485"/>
      <c r="J15" s="485"/>
      <c r="K15" s="466" t="s">
        <v>454</v>
      </c>
      <c r="L15" s="467"/>
      <c r="M15" s="467"/>
      <c r="N15" s="467"/>
      <c r="O15" s="467"/>
      <c r="P15" s="467"/>
      <c r="Q15" s="467"/>
      <c r="R15" s="467"/>
      <c r="S15" s="467"/>
      <c r="T15" s="467"/>
      <c r="U15" s="467"/>
      <c r="V15" s="468"/>
      <c r="W15" s="126"/>
      <c r="X15" s="482"/>
      <c r="Y15" s="210" t="s">
        <v>465</v>
      </c>
      <c r="Z15" s="209">
        <v>800</v>
      </c>
      <c r="AA15" s="483"/>
      <c r="AB15" s="128"/>
      <c r="AC15" s="128"/>
      <c r="AD15" s="300"/>
      <c r="AE15" s="300"/>
      <c r="AF15" s="126"/>
      <c r="AG15" s="126"/>
    </row>
    <row r="16" spans="1:35" ht="17.100000000000001" customHeight="1" thickBot="1">
      <c r="B16" s="641"/>
      <c r="C16" s="473" t="s">
        <v>530</v>
      </c>
      <c r="D16" s="474"/>
      <c r="E16" s="474"/>
      <c r="F16" s="474"/>
      <c r="G16" s="475"/>
      <c r="H16" s="484"/>
      <c r="I16" s="485"/>
      <c r="J16" s="485"/>
      <c r="K16" s="459" t="s">
        <v>529</v>
      </c>
      <c r="L16" s="460"/>
      <c r="M16" s="460"/>
      <c r="N16" s="460"/>
      <c r="O16" s="460"/>
      <c r="P16" s="460"/>
      <c r="Q16" s="460"/>
      <c r="R16" s="460"/>
      <c r="S16" s="460"/>
      <c r="T16" s="460"/>
      <c r="U16" s="460"/>
      <c r="V16" s="461"/>
      <c r="W16" s="126"/>
      <c r="X16" s="469" t="s">
        <v>482</v>
      </c>
      <c r="Y16" s="210" t="s">
        <v>464</v>
      </c>
      <c r="Z16" s="209">
        <v>1300</v>
      </c>
      <c r="AA16" s="471">
        <f>IF($W$9=TRUE,Z17,Z16)</f>
        <v>1300</v>
      </c>
      <c r="AB16" s="128"/>
      <c r="AC16" s="128"/>
      <c r="AD16" s="135"/>
      <c r="AE16" s="135"/>
      <c r="AF16" s="126"/>
      <c r="AG16" s="126"/>
    </row>
    <row r="17" spans="2:34" ht="17.100000000000001" customHeight="1" thickBot="1">
      <c r="B17" s="641"/>
      <c r="C17" s="883" t="str">
        <f>IF($W$8=TRUE,"地震地域係数Z","ー")</f>
        <v>ー</v>
      </c>
      <c r="D17" s="884"/>
      <c r="E17" s="884"/>
      <c r="F17" s="884"/>
      <c r="G17" s="884"/>
      <c r="H17" s="490" t="s">
        <v>294</v>
      </c>
      <c r="I17" s="491"/>
      <c r="J17" s="491"/>
      <c r="K17" s="492" t="str">
        <f>IF(C17="ー",IF(H17="ー","ー","プルダウンで「－」を選択してください。"),"昭55年建告第1793号第1の表の上欄に掲げる地方の区分に応じ同表下欄に掲げる数値")</f>
        <v>ー</v>
      </c>
      <c r="L17" s="493"/>
      <c r="M17" s="493"/>
      <c r="N17" s="493"/>
      <c r="O17" s="493"/>
      <c r="P17" s="493"/>
      <c r="Q17" s="493"/>
      <c r="R17" s="493"/>
      <c r="S17" s="493"/>
      <c r="T17" s="493"/>
      <c r="U17" s="493"/>
      <c r="V17" s="494"/>
      <c r="W17" s="126"/>
      <c r="X17" s="470"/>
      <c r="Y17" s="230" t="s">
        <v>465</v>
      </c>
      <c r="Z17" s="211">
        <v>1800</v>
      </c>
      <c r="AA17" s="472"/>
      <c r="AB17" s="128"/>
      <c r="AC17" s="128"/>
      <c r="AD17" s="231" t="s">
        <v>213</v>
      </c>
      <c r="AE17" s="232"/>
      <c r="AF17" s="126"/>
      <c r="AG17" s="126"/>
    </row>
    <row r="18" spans="2:34" ht="17.100000000000001" customHeight="1" thickBot="1">
      <c r="B18" s="641"/>
      <c r="C18" s="488" t="s">
        <v>275</v>
      </c>
      <c r="D18" s="489"/>
      <c r="E18" s="489"/>
      <c r="F18" s="489"/>
      <c r="G18" s="489"/>
      <c r="H18" s="490">
        <v>0.2</v>
      </c>
      <c r="I18" s="495"/>
      <c r="J18" s="495"/>
      <c r="K18" s="496" t="s">
        <v>39</v>
      </c>
      <c r="L18" s="497"/>
      <c r="M18" s="497"/>
      <c r="N18" s="497"/>
      <c r="O18" s="497"/>
      <c r="P18" s="497"/>
      <c r="Q18" s="497"/>
      <c r="R18" s="497"/>
      <c r="S18" s="497"/>
      <c r="T18" s="497"/>
      <c r="U18" s="497"/>
      <c r="V18" s="498"/>
      <c r="W18" s="126"/>
      <c r="X18" s="288"/>
      <c r="Y18" s="136"/>
      <c r="Z18" s="396" t="s">
        <v>44</v>
      </c>
      <c r="AA18" s="397"/>
      <c r="AB18" s="128"/>
      <c r="AC18" s="128"/>
      <c r="AD18" s="212" t="s">
        <v>22</v>
      </c>
      <c r="AE18" s="213"/>
      <c r="AF18" s="126"/>
      <c r="AG18" s="126"/>
    </row>
    <row r="19" spans="2:34" ht="17.100000000000001" customHeight="1">
      <c r="B19" s="641"/>
      <c r="C19" s="883" t="str">
        <f>IF($W$8=TRUE,"多雪区域の指定","ー")</f>
        <v>ー</v>
      </c>
      <c r="D19" s="884"/>
      <c r="E19" s="884"/>
      <c r="F19" s="884"/>
      <c r="G19" s="887"/>
      <c r="H19" s="490" t="s">
        <v>294</v>
      </c>
      <c r="I19" s="495"/>
      <c r="J19" s="495"/>
      <c r="K19" s="515" t="str">
        <f>IF(C19="ー",IF(H19="ー","ー","プルダウンで「－」を選択してください。"),IF(H19="ー","プルダウン選択してください。","プルダウン選択"))</f>
        <v>ー</v>
      </c>
      <c r="L19" s="516"/>
      <c r="M19" s="516"/>
      <c r="N19" s="516"/>
      <c r="O19" s="516"/>
      <c r="P19" s="516"/>
      <c r="Q19" s="516"/>
      <c r="R19" s="516"/>
      <c r="S19" s="516"/>
      <c r="T19" s="516"/>
      <c r="U19" s="516"/>
      <c r="V19" s="517"/>
      <c r="W19" s="126"/>
      <c r="X19" s="499" t="s">
        <v>8</v>
      </c>
      <c r="Y19" s="137" t="s">
        <v>24</v>
      </c>
      <c r="Z19" s="402">
        <v>1000</v>
      </c>
      <c r="AA19" s="403"/>
      <c r="AB19" s="128"/>
      <c r="AC19" s="128"/>
      <c r="AD19" s="214">
        <f t="shared" ref="AD19:AD25" si="0">ROUNDUP(Z19*((6*$H$15*2+16.5*$H$15*2)*(1-0.09)/(6*16.5)),-1)</f>
        <v>0</v>
      </c>
      <c r="AE19" s="145"/>
      <c r="AF19" s="126"/>
      <c r="AG19" s="126"/>
    </row>
    <row r="20" spans="2:34" ht="17.100000000000001" customHeight="1">
      <c r="B20" s="641"/>
      <c r="C20" s="488" t="str">
        <f>IF($H$19="あり(多雪区域)","垂直積雪量（cｍ）","ー")</f>
        <v>ー</v>
      </c>
      <c r="D20" s="489"/>
      <c r="E20" s="489"/>
      <c r="F20" s="489"/>
      <c r="G20" s="502"/>
      <c r="H20" s="506"/>
      <c r="I20" s="507"/>
      <c r="J20" s="507"/>
      <c r="K20" s="515" t="str">
        <f>IF(C20="垂直積雪量（cｍ）","解説・注意事項の表1-3を必ず参照する。入力時は単位に注意する。",IF(H20&gt;0,"左記の数値を削除してください。","ー"))</f>
        <v>ー</v>
      </c>
      <c r="L20" s="516"/>
      <c r="M20" s="516"/>
      <c r="N20" s="516"/>
      <c r="O20" s="516"/>
      <c r="P20" s="516"/>
      <c r="Q20" s="516"/>
      <c r="R20" s="516"/>
      <c r="S20" s="516"/>
      <c r="T20" s="516"/>
      <c r="U20" s="516"/>
      <c r="V20" s="517"/>
      <c r="W20" s="126"/>
      <c r="X20" s="500"/>
      <c r="Y20" s="127" t="s">
        <v>25</v>
      </c>
      <c r="Z20" s="511">
        <v>890</v>
      </c>
      <c r="AA20" s="512"/>
      <c r="AB20" s="126"/>
      <c r="AC20" s="126"/>
      <c r="AD20" s="215">
        <f t="shared" si="0"/>
        <v>0</v>
      </c>
      <c r="AE20" s="150"/>
      <c r="AF20" s="126"/>
      <c r="AG20" s="126"/>
    </row>
    <row r="21" spans="2:34" ht="17.100000000000001" customHeight="1">
      <c r="B21" s="641"/>
      <c r="C21" s="503" t="str">
        <f>IF($H$19="あり(多雪区域)","積雪単位荷重（N/m2/㎝）","ー")</f>
        <v>ー</v>
      </c>
      <c r="D21" s="504"/>
      <c r="E21" s="504"/>
      <c r="F21" s="504"/>
      <c r="G21" s="505"/>
      <c r="H21" s="506"/>
      <c r="I21" s="507"/>
      <c r="J21" s="507"/>
      <c r="K21" s="508" t="str">
        <f>IF(C21="積雪単位荷重（N/m2/㎝）","",IF(H21&gt;0,"左記の数値を削除してください。","ー"))</f>
        <v>ー</v>
      </c>
      <c r="L21" s="509"/>
      <c r="M21" s="509"/>
      <c r="N21" s="509"/>
      <c r="O21" s="509"/>
      <c r="P21" s="509"/>
      <c r="Q21" s="509"/>
      <c r="R21" s="509"/>
      <c r="S21" s="509"/>
      <c r="T21" s="509"/>
      <c r="U21" s="509"/>
      <c r="V21" s="510"/>
      <c r="W21" s="126"/>
      <c r="X21" s="500"/>
      <c r="Y21" s="127" t="s">
        <v>12</v>
      </c>
      <c r="Z21" s="511">
        <v>600</v>
      </c>
      <c r="AA21" s="512"/>
      <c r="AB21" s="126"/>
      <c r="AC21" s="126"/>
      <c r="AD21" s="215">
        <f t="shared" si="0"/>
        <v>0</v>
      </c>
      <c r="AE21" s="150"/>
      <c r="AF21" s="126"/>
      <c r="AG21" s="126"/>
    </row>
    <row r="22" spans="2:34" ht="17.100000000000001" customHeight="1">
      <c r="B22" s="641"/>
      <c r="C22" s="885" t="s">
        <v>629</v>
      </c>
      <c r="D22" s="888"/>
      <c r="E22" s="888"/>
      <c r="F22" s="888"/>
      <c r="G22" s="888"/>
      <c r="H22" s="513"/>
      <c r="I22" s="514"/>
      <c r="J22" s="514"/>
      <c r="K22" s="515" t="s">
        <v>624</v>
      </c>
      <c r="L22" s="516"/>
      <c r="M22" s="516"/>
      <c r="N22" s="516"/>
      <c r="O22" s="516"/>
      <c r="P22" s="516"/>
      <c r="Q22" s="516"/>
      <c r="R22" s="516"/>
      <c r="S22" s="516"/>
      <c r="T22" s="516"/>
      <c r="U22" s="516"/>
      <c r="V22" s="517"/>
      <c r="W22" s="126"/>
      <c r="X22" s="500"/>
      <c r="Y22" s="127" t="s">
        <v>13</v>
      </c>
      <c r="Z22" s="511">
        <v>500</v>
      </c>
      <c r="AA22" s="512"/>
      <c r="AB22" s="126"/>
      <c r="AC22" s="126"/>
      <c r="AD22" s="215">
        <f t="shared" si="0"/>
        <v>0</v>
      </c>
      <c r="AE22" s="150"/>
      <c r="AF22" s="126"/>
      <c r="AG22" s="126"/>
    </row>
    <row r="23" spans="2:34" ht="17.100000000000001" customHeight="1">
      <c r="B23" s="641"/>
      <c r="C23" s="889" t="s">
        <v>455</v>
      </c>
      <c r="D23" s="886"/>
      <c r="E23" s="886"/>
      <c r="F23" s="886"/>
      <c r="G23" s="886"/>
      <c r="H23" s="484"/>
      <c r="I23" s="485"/>
      <c r="J23" s="485"/>
      <c r="K23" s="515" t="s">
        <v>457</v>
      </c>
      <c r="L23" s="516"/>
      <c r="M23" s="516"/>
      <c r="N23" s="516"/>
      <c r="O23" s="516"/>
      <c r="P23" s="516"/>
      <c r="Q23" s="516"/>
      <c r="R23" s="516"/>
      <c r="S23" s="516"/>
      <c r="T23" s="516"/>
      <c r="U23" s="516"/>
      <c r="V23" s="517"/>
      <c r="W23" s="126"/>
      <c r="X23" s="501"/>
      <c r="Y23" s="129" t="s">
        <v>292</v>
      </c>
      <c r="Z23" s="432">
        <v>350</v>
      </c>
      <c r="AA23" s="433"/>
      <c r="AB23" s="126"/>
      <c r="AC23" s="126"/>
      <c r="AD23" s="215">
        <f t="shared" si="0"/>
        <v>0</v>
      </c>
      <c r="AE23" s="150"/>
      <c r="AF23" s="126"/>
      <c r="AG23" s="126"/>
    </row>
    <row r="24" spans="2:34" ht="17.100000000000001" customHeight="1">
      <c r="B24" s="641"/>
      <c r="C24" s="889" t="s">
        <v>456</v>
      </c>
      <c r="D24" s="886"/>
      <c r="E24" s="886"/>
      <c r="F24" s="886"/>
      <c r="G24" s="886"/>
      <c r="H24" s="531"/>
      <c r="I24" s="491"/>
      <c r="J24" s="491"/>
      <c r="K24" s="532" t="s">
        <v>620</v>
      </c>
      <c r="L24" s="533"/>
      <c r="M24" s="533"/>
      <c r="N24" s="533"/>
      <c r="O24" s="534">
        <f>ATAN(H24/10)*180/PI()</f>
        <v>0</v>
      </c>
      <c r="P24" s="534"/>
      <c r="Q24" s="533" t="s">
        <v>621</v>
      </c>
      <c r="R24" s="533"/>
      <c r="S24" s="533"/>
      <c r="T24" s="533"/>
      <c r="U24" s="533"/>
      <c r="V24" s="535"/>
      <c r="W24" s="126"/>
      <c r="X24" s="518" t="s">
        <v>17</v>
      </c>
      <c r="Y24" s="137" t="s">
        <v>150</v>
      </c>
      <c r="Z24" s="402">
        <v>70</v>
      </c>
      <c r="AA24" s="403"/>
      <c r="AB24" s="126"/>
      <c r="AC24" s="126"/>
      <c r="AD24" s="215">
        <f t="shared" si="0"/>
        <v>0</v>
      </c>
      <c r="AE24" s="150"/>
      <c r="AF24" s="126"/>
      <c r="AG24" s="126"/>
    </row>
    <row r="25" spans="2:34" ht="17.100000000000001" customHeight="1">
      <c r="B25" s="641"/>
      <c r="C25" s="885" t="s">
        <v>34</v>
      </c>
      <c r="D25" s="888"/>
      <c r="E25" s="888"/>
      <c r="F25" s="888"/>
      <c r="G25" s="888"/>
      <c r="H25" s="520"/>
      <c r="I25" s="521"/>
      <c r="J25" s="521"/>
      <c r="K25" s="515" t="s">
        <v>214</v>
      </c>
      <c r="L25" s="516"/>
      <c r="M25" s="516"/>
      <c r="N25" s="516"/>
      <c r="O25" s="516"/>
      <c r="P25" s="516"/>
      <c r="Q25" s="516"/>
      <c r="R25" s="516"/>
      <c r="S25" s="516"/>
      <c r="T25" s="516"/>
      <c r="U25" s="516"/>
      <c r="V25" s="517"/>
      <c r="W25" s="126"/>
      <c r="X25" s="519"/>
      <c r="Y25" s="129" t="s">
        <v>145</v>
      </c>
      <c r="Z25" s="432">
        <f>ROUNDUP(R37*U37*9.8/1000+R38*U38*9.8/1000,-1)</f>
        <v>0</v>
      </c>
      <c r="AA25" s="433"/>
      <c r="AB25" s="126"/>
      <c r="AC25" s="126"/>
      <c r="AD25" s="215">
        <f t="shared" si="0"/>
        <v>0</v>
      </c>
      <c r="AE25" s="150"/>
      <c r="AF25" s="126"/>
      <c r="AG25" s="126"/>
    </row>
    <row r="26" spans="2:34" ht="17.100000000000001" customHeight="1" thickBot="1">
      <c r="B26" s="641"/>
      <c r="C26" s="885" t="s">
        <v>35</v>
      </c>
      <c r="D26" s="888"/>
      <c r="E26" s="888"/>
      <c r="F26" s="888"/>
      <c r="G26" s="888"/>
      <c r="H26" s="524"/>
      <c r="I26" s="525"/>
      <c r="J26" s="525"/>
      <c r="K26" s="526" t="s">
        <v>214</v>
      </c>
      <c r="L26" s="527"/>
      <c r="M26" s="527"/>
      <c r="N26" s="527"/>
      <c r="O26" s="527"/>
      <c r="P26" s="527"/>
      <c r="Q26" s="527"/>
      <c r="R26" s="527"/>
      <c r="S26" s="527"/>
      <c r="T26" s="527"/>
      <c r="U26" s="527"/>
      <c r="V26" s="528"/>
      <c r="W26" s="126"/>
      <c r="X26" s="301" t="s">
        <v>18</v>
      </c>
      <c r="Y26" s="302" t="s">
        <v>19</v>
      </c>
      <c r="Z26" s="536">
        <v>400</v>
      </c>
      <c r="AA26" s="537"/>
      <c r="AB26" s="126"/>
      <c r="AC26" s="126"/>
      <c r="AD26" s="216">
        <f>ROUNDUP(Z26*((6*$H$15*2+16.5*$H$15*2)*0.09/(6*16.5)),-1)</f>
        <v>0</v>
      </c>
      <c r="AE26" s="161"/>
      <c r="AF26" s="126"/>
      <c r="AG26" s="126"/>
    </row>
    <row r="27" spans="2:34" ht="17.100000000000001" customHeight="1">
      <c r="B27" s="641"/>
      <c r="C27" s="575" t="s">
        <v>630</v>
      </c>
      <c r="D27" s="576"/>
      <c r="E27" s="576"/>
      <c r="F27" s="576"/>
      <c r="G27" s="576"/>
      <c r="H27" s="890"/>
      <c r="I27" s="891"/>
      <c r="J27" s="891"/>
      <c r="K27" s="581" t="s">
        <v>494</v>
      </c>
      <c r="L27" s="582"/>
      <c r="M27" s="582"/>
      <c r="N27" s="582"/>
      <c r="O27" s="582"/>
      <c r="P27" s="582"/>
      <c r="Q27" s="582"/>
      <c r="R27" s="587" t="str">
        <f>IF(H27="あり(任意入力)",IF(R29=0,"下記へ数値入力してください。",""),IF(R29=0,"下記への入力は不要です。","下記の数値を削除してください"))</f>
        <v>下記への入力は不要です。</v>
      </c>
      <c r="S27" s="587"/>
      <c r="T27" s="587"/>
      <c r="U27" s="587"/>
      <c r="V27" s="588"/>
      <c r="W27" s="126"/>
      <c r="X27" s="303"/>
      <c r="Y27" s="134"/>
      <c r="Z27" s="522" t="s">
        <v>549</v>
      </c>
      <c r="AA27" s="523"/>
      <c r="AB27" s="126" t="s">
        <v>152</v>
      </c>
      <c r="AC27" s="126"/>
      <c r="AD27" s="126"/>
      <c r="AE27" s="126"/>
      <c r="AF27" s="126"/>
      <c r="AG27" s="126"/>
      <c r="AH27" s="5"/>
    </row>
    <row r="28" spans="2:34" ht="17.100000000000001" customHeight="1" thickBot="1">
      <c r="B28" s="641"/>
      <c r="C28" s="577"/>
      <c r="D28" s="578"/>
      <c r="E28" s="578"/>
      <c r="F28" s="578"/>
      <c r="G28" s="578"/>
      <c r="H28" s="892"/>
      <c r="I28" s="893"/>
      <c r="J28" s="893"/>
      <c r="K28" s="583"/>
      <c r="L28" s="584"/>
      <c r="M28" s="584"/>
      <c r="N28" s="584"/>
      <c r="O28" s="584"/>
      <c r="P28" s="584"/>
      <c r="Q28" s="584"/>
      <c r="R28" s="589" t="s">
        <v>300</v>
      </c>
      <c r="S28" s="590"/>
      <c r="T28" s="590"/>
      <c r="U28" s="590"/>
      <c r="V28" s="591"/>
      <c r="W28" s="126"/>
      <c r="X28" s="304" t="s">
        <v>14</v>
      </c>
      <c r="Y28" s="133" t="s">
        <v>28</v>
      </c>
      <c r="Z28" s="529">
        <v>200</v>
      </c>
      <c r="AA28" s="530"/>
      <c r="AB28" s="126"/>
      <c r="AC28" s="126"/>
      <c r="AD28" s="126"/>
      <c r="AE28" s="445" t="s">
        <v>475</v>
      </c>
      <c r="AF28" s="445"/>
      <c r="AG28" s="126"/>
    </row>
    <row r="29" spans="2:34" ht="17.100000000000001" customHeight="1">
      <c r="B29" s="641"/>
      <c r="C29" s="579"/>
      <c r="D29" s="580"/>
      <c r="E29" s="580"/>
      <c r="F29" s="580"/>
      <c r="G29" s="580"/>
      <c r="H29" s="894"/>
      <c r="I29" s="895"/>
      <c r="J29" s="895"/>
      <c r="K29" s="585"/>
      <c r="L29" s="586"/>
      <c r="M29" s="586"/>
      <c r="N29" s="586"/>
      <c r="O29" s="586"/>
      <c r="P29" s="586"/>
      <c r="Q29" s="586"/>
      <c r="R29" s="592"/>
      <c r="S29" s="593"/>
      <c r="T29" s="593"/>
      <c r="U29" s="593"/>
      <c r="V29" s="594"/>
      <c r="W29" s="126"/>
      <c r="X29" s="128"/>
      <c r="Y29" s="126"/>
      <c r="Z29" s="128"/>
      <c r="AA29" s="128"/>
      <c r="AB29" s="125"/>
      <c r="AC29" s="126"/>
      <c r="AD29" s="126"/>
      <c r="AE29" s="898">
        <f>($H$16/2+$H$15+0.5)</f>
        <v>0.5</v>
      </c>
      <c r="AF29" s="899"/>
      <c r="AG29" s="126"/>
    </row>
    <row r="30" spans="2:34" ht="17.100000000000001" customHeight="1">
      <c r="B30" s="641"/>
      <c r="C30" s="549" t="s">
        <v>483</v>
      </c>
      <c r="D30" s="550"/>
      <c r="E30" s="550"/>
      <c r="F30" s="550"/>
      <c r="G30" s="551"/>
      <c r="H30" s="558"/>
      <c r="I30" s="559"/>
      <c r="J30" s="559"/>
      <c r="K30" s="564" t="s">
        <v>466</v>
      </c>
      <c r="L30" s="565"/>
      <c r="M30" s="565"/>
      <c r="N30" s="565"/>
      <c r="O30" s="565"/>
      <c r="P30" s="565"/>
      <c r="Q30" s="565"/>
      <c r="R30" s="565"/>
      <c r="S30" s="565"/>
      <c r="T30" s="565"/>
      <c r="U30" s="565"/>
      <c r="V30" s="566"/>
      <c r="W30" s="126"/>
      <c r="X30" s="128"/>
      <c r="Y30" s="126"/>
      <c r="Z30" s="128"/>
      <c r="AA30" s="128"/>
      <c r="AB30" s="126"/>
      <c r="AC30" s="126"/>
      <c r="AD30" s="126"/>
      <c r="AE30" s="126"/>
      <c r="AF30" s="126"/>
      <c r="AG30" s="126"/>
    </row>
    <row r="31" spans="2:34" ht="17.100000000000001" customHeight="1">
      <c r="B31" s="641"/>
      <c r="C31" s="552"/>
      <c r="D31" s="553"/>
      <c r="E31" s="553"/>
      <c r="F31" s="553"/>
      <c r="G31" s="554"/>
      <c r="H31" s="560"/>
      <c r="I31" s="561"/>
      <c r="J31" s="561"/>
      <c r="K31" s="568" t="s">
        <v>467</v>
      </c>
      <c r="L31" s="569"/>
      <c r="M31" s="569"/>
      <c r="N31" s="569"/>
      <c r="O31" s="229"/>
      <c r="P31" s="570" t="str">
        <f>IF(H30="任意入力",IF(O33*R33*U33+O34*R34*U34=0,"下記へ数値入力してください。",""),IF(SUM(O33:V34)=0,"下記への入力は不要です。","下記の数値を削除してください"))</f>
        <v>下記への入力は不要です。</v>
      </c>
      <c r="Q31" s="570"/>
      <c r="R31" s="570"/>
      <c r="S31" s="570"/>
      <c r="T31" s="570"/>
      <c r="U31" s="570"/>
      <c r="V31" s="571"/>
      <c r="W31" s="126"/>
      <c r="X31" s="128"/>
      <c r="Y31" s="126"/>
      <c r="Z31" s="128"/>
      <c r="AA31" s="128"/>
      <c r="AB31" s="126"/>
      <c r="AC31" s="126"/>
      <c r="AD31" s="126"/>
      <c r="AE31" s="126"/>
      <c r="AF31" s="126"/>
      <c r="AG31" s="126"/>
    </row>
    <row r="32" spans="2:34" ht="17.100000000000001" customHeight="1" thickBot="1">
      <c r="B32" s="641"/>
      <c r="C32" s="552"/>
      <c r="D32" s="553"/>
      <c r="E32" s="553"/>
      <c r="F32" s="553"/>
      <c r="G32" s="554"/>
      <c r="H32" s="560"/>
      <c r="I32" s="561"/>
      <c r="J32" s="561"/>
      <c r="K32" s="345"/>
      <c r="L32" s="286"/>
      <c r="M32" s="574"/>
      <c r="N32" s="574"/>
      <c r="O32" s="538" t="s">
        <v>484</v>
      </c>
      <c r="P32" s="539"/>
      <c r="Q32" s="540"/>
      <c r="R32" s="541" t="s">
        <v>485</v>
      </c>
      <c r="S32" s="474"/>
      <c r="T32" s="474"/>
      <c r="U32" s="217" t="s">
        <v>153</v>
      </c>
      <c r="V32" s="218"/>
      <c r="W32" s="126"/>
      <c r="X32" s="128"/>
      <c r="Y32" s="126"/>
      <c r="Z32" s="128"/>
      <c r="AA32" s="128"/>
      <c r="AB32" s="126"/>
      <c r="AC32" s="126"/>
      <c r="AD32" s="126"/>
      <c r="AE32" s="454" t="s">
        <v>393</v>
      </c>
      <c r="AF32" s="454"/>
      <c r="AG32" s="126"/>
    </row>
    <row r="33" spans="1:37" ht="17.100000000000001" customHeight="1" thickBot="1">
      <c r="B33" s="641"/>
      <c r="C33" s="552"/>
      <c r="D33" s="553"/>
      <c r="E33" s="553"/>
      <c r="F33" s="553"/>
      <c r="G33" s="554"/>
      <c r="H33" s="560"/>
      <c r="I33" s="561"/>
      <c r="J33" s="561"/>
      <c r="K33" s="345"/>
      <c r="L33" s="286"/>
      <c r="M33" s="542" t="s">
        <v>588</v>
      </c>
      <c r="N33" s="542"/>
      <c r="O33" s="543"/>
      <c r="P33" s="544"/>
      <c r="Q33" s="545"/>
      <c r="R33" s="546"/>
      <c r="S33" s="546"/>
      <c r="T33" s="546"/>
      <c r="U33" s="547"/>
      <c r="V33" s="548"/>
      <c r="W33" s="126"/>
      <c r="X33" s="140"/>
      <c r="Y33" s="141"/>
      <c r="Z33" s="896" t="s">
        <v>295</v>
      </c>
      <c r="AA33" s="897"/>
      <c r="AB33" s="896" t="s">
        <v>296</v>
      </c>
      <c r="AC33" s="897"/>
      <c r="AD33" s="140"/>
      <c r="AE33" s="282" t="s">
        <v>394</v>
      </c>
      <c r="AF33" s="126"/>
      <c r="AG33" s="126"/>
    </row>
    <row r="34" spans="1:37" ht="17.100000000000001" customHeight="1">
      <c r="B34" s="641"/>
      <c r="C34" s="555"/>
      <c r="D34" s="556"/>
      <c r="E34" s="556"/>
      <c r="F34" s="556"/>
      <c r="G34" s="557"/>
      <c r="H34" s="562"/>
      <c r="I34" s="563"/>
      <c r="J34" s="563"/>
      <c r="K34" s="346"/>
      <c r="L34" s="287"/>
      <c r="M34" s="574" t="s">
        <v>589</v>
      </c>
      <c r="N34" s="574"/>
      <c r="O34" s="543"/>
      <c r="P34" s="544"/>
      <c r="Q34" s="545"/>
      <c r="R34" s="546"/>
      <c r="S34" s="546"/>
      <c r="T34" s="546"/>
      <c r="U34" s="546"/>
      <c r="V34" s="595"/>
      <c r="W34" s="142"/>
      <c r="X34" s="143" t="s">
        <v>148</v>
      </c>
      <c r="Y34" s="144" t="s">
        <v>223</v>
      </c>
      <c r="Z34" s="146" t="e">
        <f>((VLOOKUP($H25,Y6:AA8,2,FALSE)*$AE$13+VLOOKUP($H$27,Y3:AA5,2,FALSE))*$AE$13+VLOOKUP(H30,Y11:AA12,2,FALSE)*$AE$13)/1000</f>
        <v>#N/A</v>
      </c>
      <c r="AA34" s="145" t="s">
        <v>166</v>
      </c>
      <c r="AB34" s="146" t="e">
        <f>((VLOOKUP($H25,Y6:AA8,2,FALSE)+VLOOKUP($H$27,Y3:AA5,2,FALSE))+VLOOKUP(H30,Y11:AA12,2,FALSE))/1000</f>
        <v>#N/A</v>
      </c>
      <c r="AC34" s="145" t="s">
        <v>166</v>
      </c>
      <c r="AD34" s="330" t="s">
        <v>540</v>
      </c>
      <c r="AE34" s="145" t="str">
        <f>IFERROR(ROUNDUP(((1+(1/SQRT(Z37/Z37)-Z37/Z37)*2*0.03*$AE$29/(1+3*0.03*$AE$29))*$H$18*$AE$10)/0.0196*Z37,0),"")</f>
        <v/>
      </c>
      <c r="AF34" s="126"/>
      <c r="AG34" s="126"/>
    </row>
    <row r="35" spans="1:37" ht="17.100000000000001" customHeight="1">
      <c r="B35" s="641"/>
      <c r="C35" s="596" t="s">
        <v>631</v>
      </c>
      <c r="D35" s="597"/>
      <c r="E35" s="597"/>
      <c r="F35" s="597"/>
      <c r="G35" s="597"/>
      <c r="H35" s="600"/>
      <c r="I35" s="601"/>
      <c r="J35" s="601"/>
      <c r="K35" s="907" t="s">
        <v>495</v>
      </c>
      <c r="L35" s="908"/>
      <c r="M35" s="908"/>
      <c r="N35" s="908"/>
      <c r="O35" s="908"/>
      <c r="P35" s="356"/>
      <c r="Q35" s="612" t="str">
        <f>IF(H35="任意入力",IF(R37*U37+R38*U38=0,"下記へ数値入力してください。",""),IF(SUM(R37:V38)=0,"下記への入力は不要です。","下記の数値を削除してください"))</f>
        <v>下記への入力は不要です。</v>
      </c>
      <c r="R35" s="612"/>
      <c r="S35" s="612"/>
      <c r="T35" s="612"/>
      <c r="U35" s="612"/>
      <c r="V35" s="613"/>
      <c r="W35" s="142"/>
      <c r="X35" s="143" t="s">
        <v>547</v>
      </c>
      <c r="Y35" s="144" t="s">
        <v>223</v>
      </c>
      <c r="Z35" s="146" t="e">
        <f>((VLOOKUP($H25,Y6:AA8,2,FALSE)*$AE$13+VLOOKUP($H$27,Y3:AA5,2,FALSE))*$AE$13+VLOOKUP(H30,Y11:AA12,2,FALSE)*$AE$13+$Z$9*$AE$13)/1000</f>
        <v>#N/A</v>
      </c>
      <c r="AA35" s="145" t="s">
        <v>166</v>
      </c>
      <c r="AB35" s="146"/>
      <c r="AC35" s="145"/>
      <c r="AD35" s="215" t="s">
        <v>545</v>
      </c>
      <c r="AE35" s="150" t="str">
        <f>IFERROR(ROUNDUP(((1+(1/SQRT(Z38/Z38)-Z38/Z38)*2*0.03*$AE$29/(1+3*0.03*$AE$29))*$H$18*$AF$6*$AE$10)/0.0196*Z38,0),"")</f>
        <v/>
      </c>
      <c r="AF35" s="126"/>
      <c r="AG35" s="126"/>
      <c r="AH35" s="5"/>
    </row>
    <row r="36" spans="1:37" ht="17.100000000000001" customHeight="1">
      <c r="B36" s="641"/>
      <c r="C36" s="596"/>
      <c r="D36" s="597"/>
      <c r="E36" s="597"/>
      <c r="F36" s="597"/>
      <c r="G36" s="597"/>
      <c r="H36" s="602"/>
      <c r="I36" s="603"/>
      <c r="J36" s="603"/>
      <c r="K36" s="909"/>
      <c r="L36" s="910"/>
      <c r="M36" s="910"/>
      <c r="N36" s="910"/>
      <c r="O36" s="910"/>
      <c r="P36" s="574"/>
      <c r="Q36" s="574"/>
      <c r="R36" s="626" t="s">
        <v>485</v>
      </c>
      <c r="S36" s="627"/>
      <c r="T36" s="628"/>
      <c r="U36" s="628" t="s">
        <v>153</v>
      </c>
      <c r="V36" s="629"/>
      <c r="W36" s="305"/>
      <c r="X36" s="154" t="s">
        <v>155</v>
      </c>
      <c r="Y36" s="155" t="s">
        <v>156</v>
      </c>
      <c r="Z36" s="153" t="e">
        <f>(VLOOKUP($H26,Y19:AE23,6,FALSE)+Z28*$H$15/2.8+VLOOKUP($H35,Y24:AE25,6,FALSE)+$AD$26)*1/1000</f>
        <v>#N/A</v>
      </c>
      <c r="AA36" s="150" t="s">
        <v>165</v>
      </c>
      <c r="AB36" s="153" t="e">
        <f>(VLOOKUP($H26,Y19:AE23,6,FALSE)+Z28*$H$15/2.8+VLOOKUP($H35,Y24:AE25,6,FALSE)+$AD$26)*1/1000</f>
        <v>#N/A</v>
      </c>
      <c r="AC36" s="150" t="s">
        <v>165</v>
      </c>
      <c r="AD36" s="215" t="s">
        <v>538</v>
      </c>
      <c r="AE36" s="276" t="str">
        <f>IFERROR(ROUNDUP(AE35*1.25,0),"")</f>
        <v/>
      </c>
      <c r="AF36" s="306"/>
      <c r="AG36" s="126"/>
      <c r="AH36" s="5"/>
    </row>
    <row r="37" spans="1:37" ht="17.100000000000001" customHeight="1" thickBot="1">
      <c r="B37" s="641"/>
      <c r="C37" s="596"/>
      <c r="D37" s="597"/>
      <c r="E37" s="597"/>
      <c r="F37" s="597"/>
      <c r="G37" s="597"/>
      <c r="H37" s="602"/>
      <c r="I37" s="603"/>
      <c r="J37" s="603"/>
      <c r="K37" s="909"/>
      <c r="L37" s="910"/>
      <c r="M37" s="910"/>
      <c r="N37" s="910"/>
      <c r="O37" s="910"/>
      <c r="P37" s="542" t="s">
        <v>588</v>
      </c>
      <c r="Q37" s="542"/>
      <c r="R37" s="630"/>
      <c r="S37" s="631"/>
      <c r="T37" s="632"/>
      <c r="U37" s="547"/>
      <c r="V37" s="548"/>
      <c r="W37" s="331" t="s">
        <v>541</v>
      </c>
      <c r="X37" s="445" t="s">
        <v>163</v>
      </c>
      <c r="Y37" s="445"/>
      <c r="Z37" s="278" t="e">
        <f>Z34+0.5*Z36</f>
        <v>#N/A</v>
      </c>
      <c r="AA37" s="161" t="s">
        <v>165</v>
      </c>
      <c r="AB37" s="160" t="e">
        <f>AB34+0.5*AB36</f>
        <v>#N/A</v>
      </c>
      <c r="AC37" s="161" t="s">
        <v>165</v>
      </c>
      <c r="AD37" s="277" t="s">
        <v>539</v>
      </c>
      <c r="AE37" s="307" t="str">
        <f>IFERROR(ROUNDUP(AE35*1.5,0),"")</f>
        <v/>
      </c>
      <c r="AF37" s="306"/>
      <c r="AG37" s="126"/>
      <c r="AH37" s="5"/>
    </row>
    <row r="38" spans="1:37" ht="17.100000000000001" customHeight="1" thickBot="1">
      <c r="B38" s="642"/>
      <c r="C38" s="598"/>
      <c r="D38" s="599"/>
      <c r="E38" s="599"/>
      <c r="F38" s="599"/>
      <c r="G38" s="599"/>
      <c r="H38" s="604"/>
      <c r="I38" s="605"/>
      <c r="J38" s="605"/>
      <c r="K38" s="911"/>
      <c r="L38" s="912"/>
      <c r="M38" s="912"/>
      <c r="N38" s="912"/>
      <c r="O38" s="912"/>
      <c r="P38" s="634" t="s">
        <v>589</v>
      </c>
      <c r="Q38" s="634"/>
      <c r="R38" s="635"/>
      <c r="S38" s="636"/>
      <c r="T38" s="637"/>
      <c r="U38" s="638"/>
      <c r="V38" s="900"/>
      <c r="W38" s="332" t="s">
        <v>546</v>
      </c>
      <c r="X38" s="445" t="s">
        <v>163</v>
      </c>
      <c r="Y38" s="445"/>
      <c r="Z38" s="278" t="e">
        <f>Z35+0.5*Z36</f>
        <v>#N/A</v>
      </c>
      <c r="AA38" s="161" t="s">
        <v>165</v>
      </c>
      <c r="AB38" s="160"/>
      <c r="AC38" s="161"/>
      <c r="AD38" s="126"/>
      <c r="AE38" s="126"/>
      <c r="AF38" s="126"/>
      <c r="AG38" s="126"/>
      <c r="AH38" s="5"/>
    </row>
    <row r="39" spans="1:37" ht="17.100000000000001" customHeight="1">
      <c r="B39" s="7" t="s">
        <v>372</v>
      </c>
      <c r="C39" s="4"/>
      <c r="D39" s="4"/>
      <c r="E39" s="4"/>
      <c r="F39" s="4"/>
      <c r="G39" s="4"/>
      <c r="H39" s="53" t="s">
        <v>373</v>
      </c>
      <c r="J39" s="50"/>
      <c r="K39" s="50"/>
      <c r="L39" s="50"/>
      <c r="M39" s="50"/>
      <c r="N39" s="50"/>
      <c r="O39" s="51"/>
      <c r="P39" s="51"/>
      <c r="Q39" s="51"/>
      <c r="R39" s="51"/>
      <c r="S39" s="52"/>
      <c r="T39" s="52"/>
      <c r="U39" s="52"/>
      <c r="V39" s="52"/>
      <c r="W39" s="142"/>
      <c r="X39" s="128"/>
      <c r="Y39" s="128"/>
      <c r="Z39" s="162"/>
      <c r="AA39" s="126"/>
      <c r="AB39" s="162"/>
      <c r="AC39" s="126"/>
      <c r="AD39" s="126"/>
      <c r="AE39" s="126"/>
      <c r="AF39" s="126"/>
      <c r="AG39" s="126"/>
      <c r="AH39" s="5"/>
      <c r="AI39" s="5"/>
    </row>
    <row r="40" spans="1:37" ht="17.100000000000001" customHeight="1">
      <c r="A40" s="7"/>
      <c r="B40" s="7" t="s">
        <v>374</v>
      </c>
      <c r="C40" s="39"/>
      <c r="D40" s="39"/>
      <c r="E40" s="39"/>
      <c r="F40" s="39"/>
      <c r="G40" s="39"/>
      <c r="H40" s="54"/>
      <c r="I40" s="54"/>
      <c r="J40" s="7"/>
      <c r="K40" s="48"/>
      <c r="L40" s="48"/>
      <c r="M40" s="48"/>
      <c r="N40" s="48"/>
      <c r="O40" s="48"/>
      <c r="P40" s="48"/>
      <c r="Q40" s="48"/>
      <c r="R40" s="48"/>
      <c r="S40" s="48"/>
      <c r="T40" s="48"/>
      <c r="U40" s="48"/>
      <c r="V40" s="52"/>
      <c r="W40" s="308"/>
      <c r="X40" s="128"/>
      <c r="Y40" s="128"/>
      <c r="Z40" s="162"/>
      <c r="AA40" s="126"/>
      <c r="AB40" s="162"/>
      <c r="AC40" s="126"/>
      <c r="AD40" s="126"/>
      <c r="AE40" s="126"/>
      <c r="AF40" s="126"/>
      <c r="AG40" s="126"/>
      <c r="AH40" s="5"/>
      <c r="AI40" s="5"/>
      <c r="AJ40" s="5"/>
    </row>
    <row r="41" spans="1:37" ht="17.100000000000001" customHeight="1" thickBot="1">
      <c r="A41" s="7"/>
      <c r="C41" s="39"/>
      <c r="D41" s="39"/>
      <c r="E41" s="39"/>
      <c r="F41" s="39"/>
      <c r="G41" s="39"/>
      <c r="H41" s="54"/>
      <c r="I41" s="54"/>
      <c r="J41" s="7"/>
      <c r="K41" s="48"/>
      <c r="L41" s="48"/>
      <c r="M41" s="48"/>
      <c r="N41" s="48"/>
      <c r="O41" s="48"/>
      <c r="P41" s="48"/>
      <c r="Q41" s="48"/>
      <c r="R41" s="48"/>
      <c r="S41" s="48"/>
      <c r="T41" s="48"/>
      <c r="U41" s="48"/>
      <c r="V41" s="48"/>
      <c r="W41" s="199"/>
      <c r="X41" s="309"/>
      <c r="Y41" s="309"/>
      <c r="Z41" s="309"/>
      <c r="AA41" s="126"/>
      <c r="AB41" s="126"/>
      <c r="AC41" s="126"/>
      <c r="AD41" s="126"/>
      <c r="AE41" s="126"/>
      <c r="AF41" s="126"/>
      <c r="AG41" s="126"/>
      <c r="AH41" s="5"/>
      <c r="AI41" s="5"/>
      <c r="AJ41" s="5"/>
    </row>
    <row r="42" spans="1:37" ht="17.100000000000001" customHeight="1" thickBot="1">
      <c r="B42" s="614" t="s">
        <v>30</v>
      </c>
      <c r="C42" s="617" t="s">
        <v>652</v>
      </c>
      <c r="D42" s="617"/>
      <c r="E42" s="617"/>
      <c r="F42" s="622" t="str">
        <f>IF(F43="等級1","耐震等級","等級")</f>
        <v>等級</v>
      </c>
      <c r="G42" s="623"/>
      <c r="H42" s="624" t="s">
        <v>22</v>
      </c>
      <c r="I42" s="625"/>
      <c r="J42" s="68"/>
      <c r="K42" s="68"/>
      <c r="L42" s="54"/>
      <c r="M42" s="54"/>
      <c r="N42" s="54"/>
      <c r="O42" s="54"/>
      <c r="P42" s="54"/>
      <c r="Q42" s="54"/>
      <c r="R42" s="54"/>
      <c r="S42" s="7"/>
      <c r="T42" s="7"/>
      <c r="U42" s="7"/>
      <c r="V42" s="48"/>
      <c r="W42" s="199"/>
      <c r="X42" s="309"/>
      <c r="Y42" s="309"/>
      <c r="Z42" s="309"/>
      <c r="AA42" s="126"/>
      <c r="AB42" s="126"/>
      <c r="AC42" s="126"/>
      <c r="AD42" s="126"/>
      <c r="AE42" s="126"/>
      <c r="AF42" s="126"/>
      <c r="AG42" s="126"/>
      <c r="AH42" s="5"/>
      <c r="AI42" s="5"/>
      <c r="AJ42" s="5"/>
    </row>
    <row r="43" spans="1:37" ht="17.100000000000001" customHeight="1">
      <c r="B43" s="615"/>
      <c r="C43" s="618"/>
      <c r="D43" s="618"/>
      <c r="E43" s="619"/>
      <c r="F43" s="645" t="str">
        <f>IF($W$8=TRUE,"等級1","基準法")</f>
        <v>基準法</v>
      </c>
      <c r="G43" s="646"/>
      <c r="H43" s="647" t="str">
        <f>IF(W11=1,IF(R27="下記へ数値入力してください。","",IF(P31="下記へ数値入力してください。","",IF(Q35="下記へ数値入力してください。","",AE34)))," ")</f>
        <v xml:space="preserve"> </v>
      </c>
      <c r="I43" s="648"/>
      <c r="J43" s="915" t="s">
        <v>528</v>
      </c>
      <c r="K43" s="916"/>
      <c r="L43" s="916"/>
      <c r="M43" s="916"/>
      <c r="N43" s="916"/>
      <c r="O43" s="916"/>
      <c r="P43" s="916"/>
      <c r="Q43" s="916"/>
      <c r="R43" s="916"/>
      <c r="S43" s="916"/>
      <c r="T43" s="916"/>
      <c r="U43" s="916"/>
      <c r="V43" s="916"/>
      <c r="W43" s="199"/>
      <c r="X43" s="309"/>
      <c r="Y43" s="309"/>
      <c r="Z43" s="309"/>
      <c r="AA43" s="126"/>
      <c r="AB43" s="126"/>
      <c r="AC43" s="126"/>
      <c r="AD43" s="126"/>
      <c r="AE43" s="126"/>
      <c r="AF43" s="126"/>
      <c r="AG43" s="126"/>
      <c r="AH43" s="5"/>
      <c r="AI43" s="5"/>
    </row>
    <row r="44" spans="1:37" ht="17.100000000000001" customHeight="1">
      <c r="B44" s="615"/>
      <c r="C44" s="618"/>
      <c r="D44" s="618"/>
      <c r="E44" s="619"/>
      <c r="F44" s="651" t="str">
        <f>IF($W$8=TRUE,"等級2","ー")</f>
        <v>ー</v>
      </c>
      <c r="G44" s="652"/>
      <c r="H44" s="653" t="str">
        <f>IF(W11=1,IF($W$8=TRUE,IF(R27="下記へ数値入力してください。","",IF(P31="下記へ数値入力してください。","",IF(Q35="下記へ数値入力してください。","",AE36))),"ー")," ")</f>
        <v xml:space="preserve"> </v>
      </c>
      <c r="I44" s="655"/>
      <c r="J44" s="913"/>
      <c r="K44" s="914"/>
      <c r="L44" s="914"/>
      <c r="M44" s="914"/>
      <c r="N44" s="914"/>
      <c r="O44" s="914"/>
      <c r="P44" s="914"/>
      <c r="Q44" s="914"/>
      <c r="R44" s="914"/>
      <c r="S44" s="914"/>
      <c r="T44" s="914"/>
      <c r="U44" s="352"/>
      <c r="V44" s="352"/>
      <c r="W44" s="199"/>
      <c r="X44" s="309"/>
      <c r="Y44" s="309"/>
      <c r="Z44" s="309"/>
      <c r="AA44" s="126"/>
      <c r="AB44" s="126"/>
      <c r="AC44" s="126"/>
      <c r="AD44" s="126"/>
      <c r="AE44" s="126"/>
      <c r="AF44" s="126"/>
      <c r="AG44" s="126"/>
      <c r="AH44" s="11"/>
      <c r="AI44" s="5"/>
      <c r="AJ44" s="5"/>
    </row>
    <row r="45" spans="1:37" ht="17.100000000000001" customHeight="1" thickBot="1">
      <c r="B45" s="616"/>
      <c r="C45" s="620"/>
      <c r="D45" s="620"/>
      <c r="E45" s="621"/>
      <c r="F45" s="673" t="str">
        <f>IF($W$8=TRUE,"等級3","ー")</f>
        <v>ー</v>
      </c>
      <c r="G45" s="674"/>
      <c r="H45" s="675" t="str">
        <f>IF(W11=1,IF($W$8=TRUE,IF(R27="下記へ数値入力してください。","",IF(P31="下記へ数値入力してください。","",IF(Q35="下記へ数値入力してください。","",AE37))),"ー")," ")</f>
        <v xml:space="preserve"> </v>
      </c>
      <c r="I45" s="677"/>
      <c r="J45" s="608" t="str">
        <f>IF(H21&gt;0,"※等級1は基準法と同一の値になるので、積雪荷重は影響しません。","")</f>
        <v/>
      </c>
      <c r="K45" s="609"/>
      <c r="L45" s="609"/>
      <c r="M45" s="609"/>
      <c r="N45" s="609"/>
      <c r="O45" s="609"/>
      <c r="P45" s="609"/>
      <c r="Q45" s="609"/>
      <c r="R45" s="609"/>
      <c r="S45" s="609"/>
      <c r="T45" s="609"/>
      <c r="U45" s="7"/>
      <c r="V45" s="7"/>
      <c r="W45" s="199"/>
      <c r="X45" s="309"/>
      <c r="Y45" s="309"/>
      <c r="Z45" s="309"/>
      <c r="AA45" s="126"/>
      <c r="AB45" s="126"/>
      <c r="AC45" s="126"/>
      <c r="AD45" s="126"/>
      <c r="AE45" s="126"/>
      <c r="AF45" s="126"/>
      <c r="AG45" s="126"/>
      <c r="AH45" s="11"/>
      <c r="AI45" s="5"/>
      <c r="AJ45" s="5"/>
    </row>
    <row r="46" spans="1:37" ht="17.100000000000001" customHeight="1" thickBot="1">
      <c r="B46" s="56"/>
      <c r="C46" s="10"/>
      <c r="D46" s="10"/>
      <c r="E46" s="10"/>
      <c r="F46" s="10"/>
      <c r="G46" s="10"/>
      <c r="H46" s="55"/>
      <c r="I46" s="55"/>
      <c r="J46" s="55"/>
      <c r="K46" s="55"/>
      <c r="L46" s="55"/>
      <c r="M46" s="55"/>
      <c r="N46" s="55"/>
      <c r="O46" s="55"/>
      <c r="P46" s="55"/>
      <c r="Q46" s="55"/>
      <c r="R46" s="55"/>
      <c r="S46" s="7"/>
      <c r="T46" s="7"/>
      <c r="U46" s="7"/>
      <c r="V46" s="7"/>
      <c r="W46" s="199"/>
      <c r="X46" s="128"/>
      <c r="Y46" s="128"/>
      <c r="Z46" s="126"/>
      <c r="AA46" s="126"/>
      <c r="AB46" s="126"/>
      <c r="AC46" s="126"/>
      <c r="AD46" s="126"/>
      <c r="AE46" s="126"/>
      <c r="AF46" s="126"/>
      <c r="AG46" s="126"/>
    </row>
    <row r="47" spans="1:37" ht="17.100000000000001" customHeight="1">
      <c r="A47" s="45" t="s">
        <v>628</v>
      </c>
      <c r="B47" s="46"/>
      <c r="C47" s="8"/>
      <c r="D47" s="8"/>
      <c r="E47" s="8"/>
      <c r="F47" s="8"/>
      <c r="G47" s="8"/>
      <c r="H47" s="47"/>
      <c r="I47" s="47"/>
      <c r="J47" s="8"/>
      <c r="K47" s="47"/>
      <c r="L47" s="47"/>
      <c r="M47" s="47"/>
      <c r="N47" s="47"/>
      <c r="O47" s="47"/>
      <c r="P47" s="47"/>
      <c r="Q47" s="47"/>
      <c r="R47" s="47"/>
      <c r="S47" s="237"/>
      <c r="T47" s="237"/>
      <c r="U47" s="237"/>
      <c r="V47" s="7"/>
      <c r="W47" s="199"/>
      <c r="X47" s="678" t="s">
        <v>190</v>
      </c>
      <c r="Y47" s="679"/>
      <c r="Z47" s="684" t="s">
        <v>187</v>
      </c>
      <c r="AA47" s="661" t="s">
        <v>188</v>
      </c>
      <c r="AB47" s="664" t="s">
        <v>297</v>
      </c>
      <c r="AC47" s="667" t="s">
        <v>318</v>
      </c>
      <c r="AD47" s="670" t="s">
        <v>189</v>
      </c>
      <c r="AE47" s="126"/>
      <c r="AF47" s="126"/>
      <c r="AG47" s="126"/>
      <c r="AH47" s="5"/>
      <c r="AJ47" s="5"/>
      <c r="AK47" s="5"/>
    </row>
    <row r="48" spans="1:37" ht="17.100000000000001" customHeight="1">
      <c r="A48" s="46" t="s">
        <v>405</v>
      </c>
      <c r="B48" s="46"/>
      <c r="C48" s="8"/>
      <c r="D48" s="8"/>
      <c r="E48" s="8"/>
      <c r="F48" s="8"/>
      <c r="G48" s="8"/>
      <c r="H48" s="47"/>
      <c r="I48" s="47"/>
      <c r="J48" s="8"/>
      <c r="K48" s="47"/>
      <c r="L48" s="47"/>
      <c r="M48" s="47"/>
      <c r="N48" s="47"/>
      <c r="O48" s="47"/>
      <c r="P48" s="47"/>
      <c r="Q48" s="47"/>
      <c r="R48" s="47"/>
      <c r="S48" s="237"/>
      <c r="T48" s="237"/>
      <c r="U48" s="237"/>
      <c r="V48" s="237"/>
      <c r="W48" s="199"/>
      <c r="X48" s="680"/>
      <c r="Y48" s="681"/>
      <c r="Z48" s="685"/>
      <c r="AA48" s="662"/>
      <c r="AB48" s="665"/>
      <c r="AC48" s="668"/>
      <c r="AD48" s="671"/>
      <c r="AE48" s="126"/>
      <c r="AF48" s="126"/>
      <c r="AG48" s="126"/>
      <c r="AH48" s="5"/>
      <c r="AI48" s="5"/>
      <c r="AJ48" s="5"/>
      <c r="AK48" s="5"/>
    </row>
    <row r="49" spans="1:43" ht="17.100000000000001" customHeight="1" thickBot="1">
      <c r="A49" s="46" t="s">
        <v>496</v>
      </c>
      <c r="B49" s="46"/>
      <c r="C49" s="8"/>
      <c r="D49" s="8"/>
      <c r="E49" s="8"/>
      <c r="F49" s="8"/>
      <c r="G49" s="8"/>
      <c r="H49" s="47"/>
      <c r="I49" s="47"/>
      <c r="J49" s="8"/>
      <c r="K49" s="47"/>
      <c r="L49" s="47"/>
      <c r="M49" s="47"/>
      <c r="N49" s="47"/>
      <c r="O49" s="47"/>
      <c r="P49" s="47"/>
      <c r="Q49" s="47"/>
      <c r="R49" s="47"/>
      <c r="S49" s="237"/>
      <c r="T49" s="237"/>
      <c r="U49" s="237"/>
      <c r="V49" s="237"/>
      <c r="W49" s="199"/>
      <c r="X49" s="682"/>
      <c r="Y49" s="683"/>
      <c r="Z49" s="686"/>
      <c r="AA49" s="663"/>
      <c r="AB49" s="666"/>
      <c r="AC49" s="669"/>
      <c r="AD49" s="672"/>
      <c r="AE49" s="126"/>
      <c r="AF49" s="126"/>
      <c r="AG49" s="126"/>
      <c r="AH49" s="5"/>
      <c r="AI49" s="5"/>
      <c r="AJ49" s="5"/>
      <c r="AK49" s="5"/>
    </row>
    <row r="50" spans="1:43" ht="17.100000000000001" customHeight="1" thickBot="1">
      <c r="A50" s="46"/>
      <c r="B50" s="46" t="str">
        <f>IF(H21&gt;0,"柱の小径は、建築基準法に基づく検討内容なので積雪荷重は影響しません。","")</f>
        <v/>
      </c>
      <c r="C50" s="8"/>
      <c r="D50" s="8"/>
      <c r="E50" s="8"/>
      <c r="F50" s="8"/>
      <c r="G50" s="8"/>
      <c r="H50" s="47"/>
      <c r="I50" s="47"/>
      <c r="J50" s="8"/>
      <c r="K50" s="47"/>
      <c r="L50" s="47"/>
      <c r="M50" s="47"/>
      <c r="N50" s="47"/>
      <c r="O50" s="47"/>
      <c r="P50" s="47"/>
      <c r="Q50" s="47"/>
      <c r="R50" s="47"/>
      <c r="S50" s="237"/>
      <c r="T50" s="237"/>
      <c r="U50" s="237"/>
      <c r="V50" s="237"/>
      <c r="W50" s="199"/>
      <c r="X50" s="704" t="s">
        <v>22</v>
      </c>
      <c r="Y50" s="705"/>
      <c r="Z50" s="219" t="e">
        <f>AB34+0.5*AB36</f>
        <v>#N/A</v>
      </c>
      <c r="AA50" s="167" t="e">
        <f>AB34+0.5*($Z$28*$H$15/2.8)/1000</f>
        <v>#N/A</v>
      </c>
      <c r="AB50" s="168">
        <f>$H$15*1000-105</f>
        <v>-105</v>
      </c>
      <c r="AC50" s="310" t="str">
        <f>IF($W$52=TRUE,17.7,"")</f>
        <v/>
      </c>
      <c r="AD50" s="166">
        <v>5</v>
      </c>
      <c r="AE50" s="126"/>
      <c r="AF50" s="126"/>
      <c r="AG50" s="126"/>
      <c r="AH50" s="5"/>
      <c r="AI50" s="11"/>
      <c r="AJ50" s="11"/>
      <c r="AK50" s="5"/>
      <c r="AL50" s="11"/>
      <c r="AM50" s="11"/>
      <c r="AN50" s="11"/>
      <c r="AO50" s="5"/>
      <c r="AP50" s="5"/>
      <c r="AQ50" s="5"/>
    </row>
    <row r="51" spans="1:43" ht="17.100000000000001" customHeight="1" thickBot="1">
      <c r="H51"/>
      <c r="I51"/>
      <c r="J51" s="4"/>
      <c r="K51" s="4"/>
      <c r="L51" s="4"/>
      <c r="M51" s="4"/>
      <c r="N51" s="4"/>
      <c r="O51" s="4"/>
      <c r="P51" s="4"/>
      <c r="Q51" s="4"/>
      <c r="R51" s="4"/>
      <c r="S51" s="4"/>
      <c r="T51" s="4"/>
      <c r="U51" s="4"/>
      <c r="V51" s="9"/>
      <c r="W51" s="199"/>
      <c r="X51" s="170"/>
      <c r="Y51" s="243"/>
      <c r="Z51" s="171"/>
      <c r="AA51" s="128"/>
      <c r="AB51" s="128"/>
      <c r="AC51" s="172"/>
      <c r="AD51" s="172"/>
      <c r="AE51" s="126"/>
      <c r="AF51" s="126"/>
      <c r="AG51" s="126"/>
      <c r="AH51" s="5"/>
      <c r="AI51" s="11"/>
      <c r="AJ51" s="5"/>
      <c r="AK51" s="11"/>
    </row>
    <row r="52" spans="1:43" ht="17.100000000000001" customHeight="1" thickBot="1">
      <c r="B52" s="44" t="s">
        <v>331</v>
      </c>
      <c r="C52" s="7"/>
      <c r="D52" s="7"/>
      <c r="E52" s="7"/>
      <c r="H52"/>
      <c r="I52"/>
      <c r="K52" s="4"/>
      <c r="L52" s="4"/>
      <c r="M52" s="4"/>
      <c r="N52" s="4"/>
      <c r="O52" s="4"/>
      <c r="P52" s="4"/>
      <c r="Q52" s="4"/>
      <c r="R52" s="4"/>
      <c r="S52" s="4"/>
      <c r="T52" s="4"/>
      <c r="U52" s="4"/>
      <c r="V52" s="4"/>
      <c r="W52" s="311" t="b">
        <v>0</v>
      </c>
      <c r="X52" s="173"/>
      <c r="Y52" s="174" t="s">
        <v>192</v>
      </c>
      <c r="Z52" s="175" t="s">
        <v>191</v>
      </c>
      <c r="AA52" s="176" t="s">
        <v>193</v>
      </c>
      <c r="AB52" s="176" t="s">
        <v>278</v>
      </c>
      <c r="AC52" s="279" t="s">
        <v>277</v>
      </c>
      <c r="AD52" s="243"/>
      <c r="AE52" s="126"/>
      <c r="AF52" s="126"/>
      <c r="AG52" s="126"/>
      <c r="AH52" s="5"/>
      <c r="AI52" s="5"/>
      <c r="AJ52" s="5"/>
      <c r="AK52" s="5"/>
    </row>
    <row r="53" spans="1:43" ht="17.100000000000001" customHeight="1" thickBot="1">
      <c r="B53" s="44" t="s">
        <v>381</v>
      </c>
      <c r="C53" s="7"/>
      <c r="D53" s="7"/>
      <c r="E53" s="7"/>
      <c r="H53"/>
      <c r="I53" s="57" t="s">
        <v>373</v>
      </c>
      <c r="K53" s="4"/>
      <c r="L53" s="4"/>
      <c r="M53" s="4"/>
      <c r="N53" s="4"/>
      <c r="O53" s="4"/>
      <c r="P53" s="4"/>
      <c r="Q53" s="4"/>
      <c r="R53" s="4"/>
      <c r="S53" s="4"/>
      <c r="T53" s="4"/>
      <c r="U53" s="4"/>
      <c r="V53" s="4"/>
      <c r="W53" s="169"/>
      <c r="X53" s="183" t="s">
        <v>194</v>
      </c>
      <c r="Y53" s="184">
        <f>$AB$50/52.7</f>
        <v>-1.9924098671726753</v>
      </c>
      <c r="Z53" s="185">
        <f>$AB$50/8.66</f>
        <v>-12.124711316397228</v>
      </c>
      <c r="AA53" s="186" t="e">
        <f>SQRT($Z$50*$AD$50/(1.1/3*AC50)*1000)</f>
        <v>#N/A</v>
      </c>
      <c r="AB53" s="186" t="str">
        <f>IFERROR(ROUNDUP(IF(Y53&gt;AA53,(12*($AB$50)^2/3000*AA53^2)^(1/4),IF(Z53&lt;AA53,AA53,$AB$50/75.05+SQRT(($AB$50/75.05)^2+AA53^2/1.3))),0),"")</f>
        <v/>
      </c>
      <c r="AC53" s="281">
        <f>ROUNDUP(SQRT(12)*AB50/150,0)</f>
        <v>-3</v>
      </c>
      <c r="AD53" s="243"/>
      <c r="AE53" s="126"/>
      <c r="AF53" s="126"/>
      <c r="AG53" s="126"/>
      <c r="AH53" s="11"/>
      <c r="AI53" s="11"/>
      <c r="AJ53" s="5"/>
      <c r="AK53" s="5"/>
    </row>
    <row r="54" spans="1:43" ht="17.100000000000001" customHeight="1">
      <c r="A54" s="49"/>
      <c r="B54" s="901" t="s">
        <v>274</v>
      </c>
      <c r="C54" s="902"/>
      <c r="D54" s="702" t="s">
        <v>200</v>
      </c>
      <c r="E54" s="702"/>
      <c r="F54" s="702"/>
      <c r="G54" s="702"/>
      <c r="H54" s="703"/>
      <c r="I54" s="58"/>
      <c r="J54" s="58"/>
      <c r="K54" s="58"/>
      <c r="L54" s="58"/>
      <c r="M54" s="58"/>
      <c r="N54" s="58"/>
      <c r="O54" s="58"/>
      <c r="P54" s="58"/>
      <c r="Q54" s="58"/>
      <c r="R54" s="58"/>
      <c r="S54" s="58"/>
      <c r="T54" s="58"/>
      <c r="U54" s="58"/>
      <c r="V54" s="4"/>
      <c r="W54" s="169"/>
      <c r="X54" s="126"/>
      <c r="Y54" s="126"/>
      <c r="Z54" s="126"/>
      <c r="AA54" s="126"/>
      <c r="AB54" s="126"/>
      <c r="AC54" s="126"/>
      <c r="AD54" s="126"/>
      <c r="AE54" s="126"/>
      <c r="AF54" s="126"/>
      <c r="AG54" s="126"/>
      <c r="AH54" s="5"/>
      <c r="AI54" s="11"/>
      <c r="AJ54" s="5"/>
      <c r="AK54" s="5"/>
    </row>
    <row r="55" spans="1:43" ht="17.100000000000001" customHeight="1">
      <c r="B55" s="903"/>
      <c r="C55" s="904"/>
      <c r="D55" s="707" t="s">
        <v>534</v>
      </c>
      <c r="E55" s="707"/>
      <c r="F55" s="710" t="s">
        <v>535</v>
      </c>
      <c r="G55" s="710"/>
      <c r="H55" s="711"/>
      <c r="I55" s="58"/>
      <c r="J55" s="58"/>
      <c r="K55" s="58"/>
      <c r="L55" s="58"/>
      <c r="M55" s="58"/>
      <c r="N55" s="58"/>
      <c r="O55" s="58"/>
      <c r="P55" s="58"/>
      <c r="Q55" s="58"/>
      <c r="R55" s="58"/>
      <c r="S55" s="58"/>
      <c r="T55" s="58"/>
      <c r="U55" s="58"/>
      <c r="V55" s="58"/>
      <c r="W55" s="178"/>
      <c r="X55" s="126"/>
      <c r="Y55" s="126"/>
      <c r="Z55" s="126"/>
      <c r="AA55" s="126"/>
      <c r="AB55" s="187"/>
      <c r="AC55" s="126"/>
      <c r="AD55" s="126"/>
      <c r="AE55" s="126"/>
      <c r="AF55" s="126"/>
      <c r="AG55" s="126"/>
      <c r="AH55" s="5"/>
      <c r="AI55" s="11"/>
      <c r="AJ55" s="5"/>
      <c r="AK55" s="5"/>
      <c r="AL55" s="5"/>
      <c r="AM55" s="5"/>
    </row>
    <row r="56" spans="1:43" ht="17.100000000000001" customHeight="1" thickBot="1">
      <c r="B56" s="905"/>
      <c r="C56" s="906"/>
      <c r="D56" s="709"/>
      <c r="E56" s="709"/>
      <c r="F56" s="712"/>
      <c r="G56" s="712"/>
      <c r="H56" s="713"/>
      <c r="I56" s="58"/>
      <c r="J56" s="58"/>
      <c r="K56" s="58"/>
      <c r="L56" s="58"/>
      <c r="M56" s="58"/>
      <c r="N56" s="58"/>
      <c r="O56" s="58"/>
      <c r="P56" s="58"/>
      <c r="Q56" s="58"/>
      <c r="R56" s="58"/>
      <c r="S56" s="58"/>
      <c r="T56" s="58"/>
      <c r="U56" s="58"/>
      <c r="V56" s="58"/>
      <c r="W56" s="178"/>
      <c r="X56" s="126"/>
      <c r="Y56" s="126"/>
      <c r="Z56" s="126"/>
      <c r="AA56" s="126"/>
      <c r="AB56" s="126"/>
      <c r="AC56" s="126"/>
      <c r="AD56" s="126"/>
      <c r="AE56" s="126"/>
      <c r="AF56" s="126"/>
      <c r="AG56" s="126"/>
      <c r="AH56" s="5"/>
      <c r="AI56" s="5"/>
      <c r="AJ56" s="5"/>
      <c r="AK56" s="5"/>
      <c r="AL56" s="5"/>
      <c r="AM56" s="5"/>
    </row>
    <row r="57" spans="1:43" ht="17.100000000000001" customHeight="1" thickBot="1">
      <c r="B57" s="919" t="s">
        <v>22</v>
      </c>
      <c r="C57" s="920"/>
      <c r="D57" s="921" t="str">
        <f>IFERROR(IF($W$52=TRUE,"１/"&amp;ROUNDDOWN((H15*1000-120)/F57,1),""),"")</f>
        <v/>
      </c>
      <c r="E57" s="921"/>
      <c r="F57" s="917" t="str">
        <f>IF($W$52=TRUE,IF(AB53="","",MAX(AB53:AC53)),"")</f>
        <v/>
      </c>
      <c r="G57" s="917"/>
      <c r="H57" s="918"/>
      <c r="I57" s="59"/>
      <c r="J57" s="59"/>
      <c r="K57" s="59"/>
      <c r="L57" s="59"/>
      <c r="M57" s="59"/>
      <c r="N57" s="59"/>
      <c r="O57" s="59"/>
      <c r="P57" s="59"/>
      <c r="Q57" s="59"/>
      <c r="R57" s="59"/>
      <c r="S57" s="59"/>
      <c r="T57" s="59"/>
      <c r="U57" s="59"/>
      <c r="V57" s="59"/>
      <c r="W57" s="178"/>
      <c r="X57" s="126"/>
      <c r="Y57" s="126"/>
      <c r="Z57" s="126"/>
      <c r="AA57" s="126"/>
      <c r="AB57" s="126"/>
      <c r="AC57" s="126"/>
      <c r="AD57" s="126"/>
      <c r="AE57" s="126"/>
      <c r="AF57" s="126"/>
      <c r="AG57" s="126"/>
      <c r="AH57" s="5"/>
      <c r="AI57" s="5"/>
      <c r="AK57" s="5"/>
      <c r="AM57" s="5"/>
    </row>
    <row r="58" spans="1:43" ht="17.100000000000001" customHeight="1">
      <c r="B58" s="60" t="s">
        <v>536</v>
      </c>
      <c r="C58" s="60"/>
      <c r="D58" s="60"/>
      <c r="E58" s="60"/>
      <c r="F58" s="60"/>
      <c r="G58" s="60"/>
      <c r="H58" s="60"/>
      <c r="I58" s="60"/>
      <c r="J58" s="60"/>
      <c r="K58" s="60"/>
      <c r="L58" s="60"/>
      <c r="M58" s="60"/>
      <c r="N58" s="60"/>
      <c r="O58" s="60"/>
      <c r="P58" s="60"/>
      <c r="Q58" s="60"/>
      <c r="R58" s="60"/>
      <c r="S58" s="60"/>
      <c r="T58" s="60"/>
      <c r="U58" s="60"/>
      <c r="V58" s="59"/>
      <c r="W58" s="178"/>
      <c r="X58" s="126"/>
      <c r="Y58" s="126"/>
      <c r="Z58" s="126"/>
      <c r="AA58" s="126"/>
      <c r="AB58" s="126"/>
      <c r="AC58" s="126"/>
      <c r="AD58" s="126"/>
      <c r="AE58" s="126"/>
      <c r="AF58" s="126"/>
      <c r="AG58" s="126"/>
      <c r="AH58" s="5"/>
      <c r="AI58" s="5"/>
    </row>
    <row r="59" spans="1:43" s="7" customFormat="1" ht="17.100000000000001" customHeight="1">
      <c r="B59" s="714" t="s">
        <v>486</v>
      </c>
      <c r="C59" s="714"/>
      <c r="D59" s="714"/>
      <c r="E59" s="714"/>
      <c r="F59" s="714"/>
      <c r="G59" s="714"/>
      <c r="H59" s="714"/>
      <c r="I59" s="714"/>
      <c r="J59" s="714"/>
      <c r="K59" s="714"/>
      <c r="L59" s="714"/>
      <c r="M59" s="714"/>
      <c r="N59" s="714"/>
      <c r="O59" s="714"/>
      <c r="P59" s="714"/>
      <c r="Q59" s="714"/>
      <c r="R59" s="714"/>
      <c r="S59" s="715" t="s">
        <v>373</v>
      </c>
      <c r="T59" s="715"/>
      <c r="U59" s="715"/>
      <c r="V59" s="379"/>
      <c r="W59" s="126"/>
      <c r="X59" s="126"/>
      <c r="Y59" s="126"/>
      <c r="Z59" s="126"/>
      <c r="AA59" s="126"/>
      <c r="AB59" s="126"/>
      <c r="AC59" s="126"/>
      <c r="AD59" s="126"/>
      <c r="AE59" s="126"/>
      <c r="AF59" s="126"/>
      <c r="AG59" s="126"/>
      <c r="AH59" s="5"/>
      <c r="AI59"/>
      <c r="AK59"/>
    </row>
    <row r="60" spans="1:43" s="7" customFormat="1" ht="17.100000000000001" customHeight="1">
      <c r="B60" s="203"/>
      <c r="C60" s="203"/>
      <c r="D60" s="203"/>
      <c r="E60" s="203"/>
      <c r="F60" s="203"/>
      <c r="G60" s="203"/>
      <c r="H60" s="203"/>
      <c r="I60" s="203"/>
      <c r="J60" s="203"/>
      <c r="K60" s="203"/>
      <c r="L60" s="203"/>
      <c r="M60" s="203"/>
      <c r="N60" s="203"/>
      <c r="O60" s="203"/>
      <c r="P60" s="203"/>
      <c r="Q60" s="202"/>
      <c r="R60" s="202"/>
      <c r="S60" s="202"/>
      <c r="T60" s="48"/>
      <c r="U60" s="48"/>
      <c r="V60" s="48"/>
      <c r="W60" s="178"/>
      <c r="X60" s="126"/>
      <c r="Y60" s="126"/>
      <c r="Z60" s="126"/>
      <c r="AA60" s="126"/>
      <c r="AB60" s="126"/>
      <c r="AC60" s="126"/>
      <c r="AD60" s="126"/>
      <c r="AE60" s="126"/>
      <c r="AF60" s="126"/>
      <c r="AG60" s="126"/>
    </row>
    <row r="61" spans="1:43" ht="17.100000000000001" customHeight="1">
      <c r="B61" s="716" t="s">
        <v>332</v>
      </c>
      <c r="C61" s="716"/>
      <c r="D61" s="716"/>
      <c r="E61" s="716"/>
      <c r="F61" s="716"/>
      <c r="G61" s="716"/>
      <c r="H61" s="716"/>
      <c r="I61" s="716"/>
      <c r="J61" s="716"/>
      <c r="K61" s="716"/>
      <c r="L61" s="716"/>
      <c r="M61" s="716"/>
      <c r="N61" s="716"/>
      <c r="O61" s="716"/>
      <c r="P61" s="716"/>
      <c r="Q61" s="716"/>
      <c r="R61" s="716"/>
      <c r="S61" s="716"/>
      <c r="T61" s="716"/>
      <c r="U61" s="82"/>
      <c r="V61" s="48"/>
      <c r="W61" s="311" t="b">
        <v>0</v>
      </c>
      <c r="X61" s="126"/>
      <c r="Y61" s="126"/>
      <c r="Z61" s="126"/>
      <c r="AA61" s="126"/>
      <c r="AB61" s="126"/>
      <c r="AC61" s="126"/>
      <c r="AD61" s="126"/>
      <c r="AE61" s="126"/>
      <c r="AF61" s="126"/>
      <c r="AG61" s="126"/>
      <c r="AH61" s="5"/>
      <c r="AI61" s="5"/>
      <c r="AJ61" s="7"/>
      <c r="AK61" s="7"/>
      <c r="AL61" s="7"/>
      <c r="AM61" s="7"/>
    </row>
    <row r="62" spans="1:43" ht="17.100000000000001" customHeight="1">
      <c r="B62" s="44" t="s">
        <v>381</v>
      </c>
      <c r="C62" s="7"/>
      <c r="D62" s="7"/>
      <c r="E62" s="7"/>
      <c r="H62"/>
      <c r="I62" s="57" t="s">
        <v>373</v>
      </c>
      <c r="K62" s="4"/>
      <c r="L62" s="4"/>
      <c r="M62" s="4"/>
      <c r="N62" s="4"/>
      <c r="O62" s="4"/>
      <c r="P62" s="4"/>
      <c r="Q62" s="4"/>
      <c r="R62" s="4"/>
      <c r="S62" s="4"/>
      <c r="T62" s="4"/>
      <c r="U62" s="4"/>
      <c r="V62" s="82"/>
      <c r="W62" s="225"/>
      <c r="X62" s="126"/>
      <c r="Y62" s="126"/>
      <c r="Z62" s="126"/>
      <c r="AA62" s="126"/>
      <c r="AB62" s="126"/>
      <c r="AC62" s="126"/>
      <c r="AD62" s="126"/>
      <c r="AE62" s="126"/>
      <c r="AF62" s="126"/>
      <c r="AG62" s="126"/>
      <c r="AH62" s="5"/>
      <c r="AI62" s="5"/>
      <c r="AJ62" s="7"/>
      <c r="AK62" s="7"/>
      <c r="AM62" s="7"/>
      <c r="AN62" s="7"/>
      <c r="AO62" s="7"/>
    </row>
    <row r="63" spans="1:43" ht="17.100000000000001" customHeight="1" thickBot="1">
      <c r="A63" s="7"/>
      <c r="B63" s="717" t="s">
        <v>445</v>
      </c>
      <c r="C63" s="717"/>
      <c r="D63" s="717"/>
      <c r="E63" s="717"/>
      <c r="F63" s="717"/>
      <c r="G63" s="717"/>
      <c r="H63" s="717"/>
      <c r="I63" s="717"/>
      <c r="J63" s="717"/>
      <c r="K63" s="717"/>
      <c r="L63" s="717"/>
      <c r="M63" s="717"/>
      <c r="N63" s="717"/>
      <c r="O63" s="717"/>
      <c r="P63" s="717"/>
      <c r="Q63" s="717"/>
      <c r="R63" s="717"/>
      <c r="S63" s="717"/>
      <c r="T63" s="717"/>
      <c r="U63" s="228"/>
      <c r="V63" s="4"/>
      <c r="W63" s="225"/>
      <c r="X63" s="169"/>
      <c r="Y63" s="126"/>
      <c r="Z63" s="126"/>
      <c r="AA63" s="126"/>
      <c r="AB63" s="126"/>
      <c r="AC63" s="126"/>
      <c r="AD63" s="126"/>
      <c r="AE63" s="126"/>
      <c r="AF63" s="126"/>
      <c r="AG63" s="126"/>
      <c r="AH63" s="5"/>
      <c r="AI63" s="5"/>
      <c r="AJ63" s="7"/>
      <c r="AK63" s="7"/>
      <c r="AL63" s="7"/>
    </row>
    <row r="64" spans="1:43" ht="17.100000000000001" customHeight="1" thickBot="1">
      <c r="A64" s="49"/>
      <c r="B64" s="699" t="s">
        <v>259</v>
      </c>
      <c r="C64" s="718"/>
      <c r="D64" s="720" t="s">
        <v>201</v>
      </c>
      <c r="E64" s="721"/>
      <c r="F64" s="721"/>
      <c r="G64" s="721"/>
      <c r="H64" s="721"/>
      <c r="I64" s="721"/>
      <c r="J64" s="721"/>
      <c r="K64" s="721"/>
      <c r="L64" s="721"/>
      <c r="M64" s="721"/>
      <c r="N64" s="721"/>
      <c r="O64" s="721"/>
      <c r="P64" s="722"/>
      <c r="Q64" s="701" t="s">
        <v>200</v>
      </c>
      <c r="R64" s="723"/>
      <c r="S64" s="702"/>
      <c r="T64" s="702"/>
      <c r="U64" s="702"/>
      <c r="V64" s="703"/>
      <c r="W64" s="225"/>
      <c r="X64" s="169"/>
      <c r="Y64" s="188"/>
      <c r="Z64" s="189" t="s">
        <v>192</v>
      </c>
      <c r="AA64" s="190" t="s">
        <v>191</v>
      </c>
      <c r="AB64" s="191" t="s">
        <v>193</v>
      </c>
      <c r="AC64" s="191" t="s">
        <v>279</v>
      </c>
      <c r="AD64" s="192" t="s">
        <v>277</v>
      </c>
      <c r="AE64" s="177" t="s">
        <v>271</v>
      </c>
      <c r="AF64" s="126"/>
      <c r="AG64" s="126"/>
      <c r="AH64" s="11"/>
      <c r="AI64" s="5"/>
      <c r="AJ64" s="7"/>
      <c r="AK64" s="5"/>
      <c r="AL64" s="7"/>
    </row>
    <row r="65" spans="1:41" ht="17.100000000000001" customHeight="1" thickBot="1">
      <c r="B65" s="598"/>
      <c r="C65" s="719"/>
      <c r="D65" s="598" t="s">
        <v>226</v>
      </c>
      <c r="E65" s="599"/>
      <c r="F65" s="599"/>
      <c r="G65" s="599"/>
      <c r="H65" s="724"/>
      <c r="I65" s="725" t="s">
        <v>227</v>
      </c>
      <c r="J65" s="726"/>
      <c r="K65" s="727"/>
      <c r="L65" s="728" t="s">
        <v>258</v>
      </c>
      <c r="M65" s="729"/>
      <c r="N65" s="729"/>
      <c r="O65" s="729"/>
      <c r="P65" s="730"/>
      <c r="Q65" s="731" t="s">
        <v>487</v>
      </c>
      <c r="R65" s="732"/>
      <c r="S65" s="733"/>
      <c r="T65" s="734" t="s">
        <v>202</v>
      </c>
      <c r="U65" s="735"/>
      <c r="V65" s="736"/>
      <c r="W65" s="225"/>
      <c r="X65" s="178"/>
      <c r="Y65" s="193" t="s">
        <v>194</v>
      </c>
      <c r="Z65" s="194">
        <f>$AB$50/52.7</f>
        <v>-1.9924098671726753</v>
      </c>
      <c r="AA65" s="195">
        <f>$AB$50/8.66</f>
        <v>-12.124711316397228</v>
      </c>
      <c r="AB65" s="195" t="e">
        <f>SQRT($Z$50*$AD$50/(1.1/3*Q66)*1000)</f>
        <v>#N/A</v>
      </c>
      <c r="AC65" s="195" t="str">
        <f>IFERROR(ROUNDUP(IF(Z65&gt;AB65,(12*($AB$50)^2/3000*AB65^2)^(1/4),IF(AA65&lt;AB65,AB65,$AB$50/75.05+SQRT(($AB$50/75.05)^2+AB65^2/1.3))),0),"")</f>
        <v/>
      </c>
      <c r="AD65" s="195">
        <f>ROUNDUP(SQRT(12)*$AB$50/150,0)</f>
        <v>-3</v>
      </c>
      <c r="AE65" s="312" t="str">
        <f>IF(D66="JAS機械等級区分構造用製材","機械",IF(D66="JAS目視等級区分構造用製材", "目視",IF(D66="無等級材","無等級",IF(D66="JAS同一等級構成集成材","集成材","LVL"))))</f>
        <v>LVL</v>
      </c>
      <c r="AF65" s="126"/>
      <c r="AG65" s="126"/>
      <c r="AH65" s="11"/>
      <c r="AI65" s="11"/>
      <c r="AJ65" s="5"/>
      <c r="AK65" s="5"/>
      <c r="AL65" s="5"/>
      <c r="AM65" s="7"/>
    </row>
    <row r="66" spans="1:41" ht="17.100000000000001" customHeight="1">
      <c r="B66" s="699" t="s">
        <v>22</v>
      </c>
      <c r="C66" s="63" t="s">
        <v>148</v>
      </c>
      <c r="D66" s="737"/>
      <c r="E66" s="738"/>
      <c r="F66" s="738"/>
      <c r="G66" s="738"/>
      <c r="H66" s="739"/>
      <c r="I66" s="740"/>
      <c r="J66" s="741"/>
      <c r="K66" s="742"/>
      <c r="L66" s="743"/>
      <c r="M66" s="738"/>
      <c r="N66" s="738"/>
      <c r="O66" s="738"/>
      <c r="P66" s="744"/>
      <c r="Q66" s="778" t="str">
        <f>IF($W$61=TRUE,IFERROR(VLOOKUP(D66&amp;I66&amp;L66,柱の圧縮基準強度!$A$4:$F$187,6,0),"該当なし"),"")</f>
        <v/>
      </c>
      <c r="R66" s="779"/>
      <c r="S66" s="780"/>
      <c r="T66" s="748" t="str">
        <f>IF($W$61=TRUE,IF(AC65="","",MAX(AC65:AD65)),"")</f>
        <v/>
      </c>
      <c r="U66" s="749"/>
      <c r="V66" s="750"/>
      <c r="W66" s="225"/>
      <c r="X66" s="178"/>
      <c r="Y66" s="193" t="s">
        <v>195</v>
      </c>
      <c r="Z66" s="194">
        <f>$AB$50/52.7</f>
        <v>-1.9924098671726753</v>
      </c>
      <c r="AA66" s="195">
        <f>$AB$50/8.66</f>
        <v>-12.124711316397228</v>
      </c>
      <c r="AB66" s="195" t="e">
        <f>SQRT($Z$50*$AD$50/(1.1/3*Q67)*1000)</f>
        <v>#N/A</v>
      </c>
      <c r="AC66" s="195" t="str">
        <f>IFERROR(ROUNDUP(IF(Z66&gt;AB66,(12*($AB$50)^2/3000*AB66^2)^(1/4),IF(AA66&lt;AB66,AB66,$AB$50/75.05+SQRT(($AB$50/75.05)^2+AB66^2/1.3))),0),"")</f>
        <v/>
      </c>
      <c r="AD66" s="195">
        <f>ROUNDUP(SQRT(12)*$AB$50/150,0)</f>
        <v>-3</v>
      </c>
      <c r="AE66" s="312" t="str">
        <f>IF(D67="JAS機械等級区分構造用製材","機械",IF(D67="JAS目視等級区分構造用製材", "目視",IF(D67="無等級材","無等級",IF(D67="JAS同一等級構成集成材","集成材","LVL"))))</f>
        <v>LVL</v>
      </c>
      <c r="AF66" s="126"/>
      <c r="AG66" s="126"/>
      <c r="AH66" s="11"/>
      <c r="AI66" s="5"/>
      <c r="AJ66" s="5"/>
      <c r="AK66" s="7"/>
      <c r="AM66" s="7"/>
    </row>
    <row r="67" spans="1:41" s="7" customFormat="1" ht="17.100000000000001" customHeight="1">
      <c r="A67"/>
      <c r="B67" s="596"/>
      <c r="C67" s="64" t="s">
        <v>149</v>
      </c>
      <c r="D67" s="751"/>
      <c r="E67" s="752"/>
      <c r="F67" s="752"/>
      <c r="G67" s="752"/>
      <c r="H67" s="753"/>
      <c r="I67" s="754"/>
      <c r="J67" s="755"/>
      <c r="K67" s="756"/>
      <c r="L67" s="783"/>
      <c r="M67" s="752"/>
      <c r="N67" s="752"/>
      <c r="O67" s="752"/>
      <c r="P67" s="784"/>
      <c r="Q67" s="772" t="str">
        <f>IF($W$61=TRUE,IFERROR(VLOOKUP(D67&amp;I67&amp;L67,柱の圧縮基準強度!$A$4:$F$187,6,0),"該当なし"),"")</f>
        <v/>
      </c>
      <c r="R67" s="773"/>
      <c r="S67" s="774"/>
      <c r="T67" s="775" t="str">
        <f>IF($W$61=TRUE,IF(AC66="","",MAX(AC66:AD66)),"")</f>
        <v/>
      </c>
      <c r="U67" s="776"/>
      <c r="V67" s="777"/>
      <c r="W67" s="225"/>
      <c r="X67" s="178"/>
      <c r="Y67" s="193" t="s">
        <v>198</v>
      </c>
      <c r="Z67" s="194">
        <f>$AB$50/52.7</f>
        <v>-1.9924098671726753</v>
      </c>
      <c r="AA67" s="195">
        <f>$AB$50/8.66</f>
        <v>-12.124711316397228</v>
      </c>
      <c r="AB67" s="195" t="e">
        <f>SQRT($Z$50*$AD$50/(1.1/3*Q68)*1000)</f>
        <v>#N/A</v>
      </c>
      <c r="AC67" s="195" t="str">
        <f>IFERROR(ROUNDUP(IF(Z67&gt;AB67,(12*($AB$50)^2/3000*AB67^2)^(1/4),IF(AA67&lt;AB67,AB67,$AB$50/75.05+SQRT(($AB$50/75.05)^2+AB67^2/1.3))),0),"")</f>
        <v/>
      </c>
      <c r="AD67" s="195">
        <f>ROUNDUP(SQRT(12)*$AB$50/150,0)</f>
        <v>-3</v>
      </c>
      <c r="AE67" s="312" t="str">
        <f>IF(D68="JAS機械等級区分構造用製材","機械",IF(D68="JAS目視等級区分構造用製材", "目視",IF(D68="無等級材","無等級",IF(D68="JAS同一等級構成集成材","集成材","LVL"))))</f>
        <v>LVL</v>
      </c>
      <c r="AF67" s="126"/>
      <c r="AG67" s="126"/>
      <c r="AH67" s="11"/>
      <c r="AI67" s="5"/>
      <c r="AJ67" s="5"/>
      <c r="AL67"/>
      <c r="AN67"/>
      <c r="AO67"/>
    </row>
    <row r="68" spans="1:41" s="7" customFormat="1" ht="17.100000000000001" customHeight="1" thickBot="1">
      <c r="A68"/>
      <c r="B68" s="596"/>
      <c r="C68" s="64" t="s">
        <v>154</v>
      </c>
      <c r="D68" s="751"/>
      <c r="E68" s="752"/>
      <c r="F68" s="752"/>
      <c r="G68" s="752"/>
      <c r="H68" s="753"/>
      <c r="I68" s="754"/>
      <c r="J68" s="755"/>
      <c r="K68" s="756"/>
      <c r="L68" s="783"/>
      <c r="M68" s="752"/>
      <c r="N68" s="752"/>
      <c r="O68" s="752"/>
      <c r="P68" s="784"/>
      <c r="Q68" s="772" t="str">
        <f>IF($W$61=TRUE,IFERROR(VLOOKUP(D68&amp;I68&amp;L68,柱の圧縮基準強度!$A$4:$F$187,6,0),"該当なし"),"")</f>
        <v/>
      </c>
      <c r="R68" s="773"/>
      <c r="S68" s="774"/>
      <c r="T68" s="775" t="str">
        <f>IF($W$61=TRUE,IF(AC67="","",MAX(AC67:AD67)),"")</f>
        <v/>
      </c>
      <c r="U68" s="776"/>
      <c r="V68" s="777"/>
      <c r="W68" s="225"/>
      <c r="X68" s="178"/>
      <c r="Y68" s="196" t="s">
        <v>198</v>
      </c>
      <c r="Z68" s="197">
        <f>$AB$50/52.7</f>
        <v>-1.9924098671726753</v>
      </c>
      <c r="AA68" s="198">
        <f>$AB$50/8.66</f>
        <v>-12.124711316397228</v>
      </c>
      <c r="AB68" s="198" t="e">
        <f>SQRT($Z$50*$AD$50/(1.1/3*Q69)*1000)</f>
        <v>#N/A</v>
      </c>
      <c r="AC68" s="198" t="str">
        <f>IFERROR(ROUNDUP(IF(Z68&gt;AB68,(12*($AB$50)^2/3000*AB68^2)^(1/4),IF(AA68&lt;AB68,AB68,$AB$50/75.05+SQRT(($AB$50/75.05)^2+AB68^2/1.3))),0),"")</f>
        <v/>
      </c>
      <c r="AD68" s="198">
        <f>ROUNDUP(SQRT(12)*$AB$50/150,0)</f>
        <v>-3</v>
      </c>
      <c r="AE68" s="283"/>
      <c r="AF68" s="126"/>
      <c r="AG68" s="126"/>
      <c r="AH68" s="11"/>
      <c r="AI68" s="5"/>
      <c r="AJ68" s="5"/>
      <c r="AK68" s="5"/>
      <c r="AL68"/>
      <c r="AN68"/>
      <c r="AO68"/>
    </row>
    <row r="69" spans="1:41" s="7" customFormat="1" ht="17.100000000000001" customHeight="1" thickBot="1">
      <c r="A69"/>
      <c r="B69" s="598"/>
      <c r="C69" s="66" t="s">
        <v>155</v>
      </c>
      <c r="D69" s="757" t="s">
        <v>460</v>
      </c>
      <c r="E69" s="758"/>
      <c r="F69" s="758"/>
      <c r="G69" s="758"/>
      <c r="H69" s="758"/>
      <c r="I69" s="758"/>
      <c r="J69" s="758"/>
      <c r="K69" s="759"/>
      <c r="L69" s="760" t="s">
        <v>298</v>
      </c>
      <c r="M69" s="761"/>
      <c r="N69" s="761"/>
      <c r="O69" s="761"/>
      <c r="P69" s="762"/>
      <c r="Q69" s="763"/>
      <c r="R69" s="764"/>
      <c r="S69" s="765"/>
      <c r="T69" s="769" t="str">
        <f>IF($W$61=TRUE,IF(AC68="","",MAX(AC68:AD68)),"")</f>
        <v/>
      </c>
      <c r="U69" s="770"/>
      <c r="V69" s="771"/>
      <c r="W69" s="225"/>
      <c r="X69" s="178"/>
      <c r="Y69" s="128"/>
      <c r="Z69" s="233"/>
      <c r="AA69" s="187"/>
      <c r="AB69" s="187"/>
      <c r="AC69" s="187"/>
      <c r="AD69" s="187"/>
      <c r="AE69" s="243"/>
      <c r="AF69" s="126"/>
      <c r="AG69" s="126"/>
      <c r="AH69" s="11"/>
      <c r="AI69"/>
      <c r="AJ69" s="5"/>
      <c r="AK69" s="5"/>
      <c r="AL69"/>
    </row>
    <row r="70" spans="1:41" s="7" customFormat="1" ht="17.100000000000001" customHeight="1">
      <c r="A70"/>
      <c r="B70" s="61"/>
      <c r="C70" s="62"/>
      <c r="D70" s="62"/>
      <c r="E70" s="62"/>
      <c r="F70" s="62"/>
      <c r="G70" s="62"/>
      <c r="H70" s="62"/>
      <c r="I70" s="62"/>
      <c r="J70" s="62"/>
      <c r="K70" s="62"/>
      <c r="L70" s="62"/>
      <c r="M70" s="62"/>
      <c r="N70" s="62"/>
      <c r="O70" s="62"/>
      <c r="P70" s="62"/>
      <c r="Q70" s="62"/>
      <c r="R70" s="62"/>
      <c r="S70" s="62"/>
      <c r="T70" s="62"/>
      <c r="U70" s="62"/>
      <c r="V70" s="62"/>
      <c r="W70" s="178"/>
      <c r="X70" s="178"/>
      <c r="Y70" s="128"/>
      <c r="Z70" s="233"/>
      <c r="AA70" s="187"/>
      <c r="AB70" s="187"/>
      <c r="AC70" s="187"/>
      <c r="AD70" s="187"/>
      <c r="AE70" s="243"/>
      <c r="AF70" s="126"/>
      <c r="AG70" s="126"/>
      <c r="AH70" s="11"/>
      <c r="AI70" s="5"/>
      <c r="AJ70" s="5"/>
      <c r="AK70" s="5"/>
      <c r="AL70"/>
      <c r="AM70"/>
      <c r="AN70"/>
    </row>
    <row r="71" spans="1:41" s="7" customFormat="1" ht="17.100000000000001" customHeight="1" thickBot="1">
      <c r="A71"/>
      <c r="B71" s="785" t="s">
        <v>333</v>
      </c>
      <c r="C71" s="785"/>
      <c r="D71" s="785"/>
      <c r="E71" s="785"/>
      <c r="F71" s="785"/>
      <c r="G71" s="785"/>
      <c r="H71" s="785"/>
      <c r="I71" s="785"/>
      <c r="J71" s="785"/>
      <c r="K71" s="785"/>
      <c r="L71" s="785"/>
      <c r="M71" s="785"/>
      <c r="N71" s="785"/>
      <c r="O71" s="785"/>
      <c r="P71" s="785"/>
      <c r="Q71" s="785"/>
      <c r="R71" s="785"/>
      <c r="S71" s="785"/>
      <c r="T71" s="785"/>
      <c r="U71" s="83"/>
      <c r="V71" s="83"/>
      <c r="W71" s="178"/>
      <c r="X71" s="126"/>
      <c r="Y71" s="126"/>
      <c r="Z71" s="126"/>
      <c r="AA71" s="126"/>
      <c r="AB71" s="126"/>
      <c r="AC71" s="126"/>
      <c r="AD71" s="126"/>
      <c r="AE71" s="126"/>
      <c r="AF71" s="126"/>
      <c r="AG71" s="126"/>
      <c r="AH71" s="11"/>
      <c r="AI71" s="5"/>
      <c r="AJ71" s="5"/>
      <c r="AK71" s="5"/>
      <c r="AL71"/>
      <c r="AM71"/>
    </row>
    <row r="72" spans="1:41" ht="17.100000000000001" customHeight="1" thickBot="1">
      <c r="B72" s="44" t="s">
        <v>381</v>
      </c>
      <c r="C72" s="7"/>
      <c r="D72" s="7"/>
      <c r="E72" s="7"/>
      <c r="H72"/>
      <c r="I72" s="57" t="s">
        <v>373</v>
      </c>
      <c r="K72" s="4"/>
      <c r="L72" s="4"/>
      <c r="M72" s="4"/>
      <c r="N72" s="4"/>
      <c r="O72" s="4"/>
      <c r="P72" s="4"/>
      <c r="Q72" s="4"/>
      <c r="R72" s="4"/>
      <c r="S72" s="4"/>
      <c r="T72" s="4"/>
      <c r="U72" s="4"/>
      <c r="V72" s="4"/>
      <c r="W72" s="199" t="b">
        <v>0</v>
      </c>
      <c r="X72" s="313"/>
      <c r="Y72" s="314"/>
      <c r="Z72" s="189" t="s">
        <v>32</v>
      </c>
      <c r="AA72" s="315" t="s">
        <v>33</v>
      </c>
      <c r="AB72" s="315" t="s">
        <v>205</v>
      </c>
      <c r="AC72" s="316" t="s">
        <v>209</v>
      </c>
      <c r="AD72" s="126"/>
      <c r="AE72" s="126"/>
      <c r="AF72" s="126"/>
      <c r="AG72" s="126"/>
      <c r="AH72" s="5"/>
      <c r="AI72" s="5"/>
      <c r="AJ72" s="5"/>
      <c r="AK72" s="5"/>
      <c r="AN72" s="7"/>
      <c r="AO72" s="7"/>
    </row>
    <row r="73" spans="1:41" ht="17.100000000000001" customHeight="1">
      <c r="A73" s="7"/>
      <c r="B73" t="s">
        <v>446</v>
      </c>
      <c r="C73" s="56"/>
      <c r="D73" s="56"/>
      <c r="E73" s="56"/>
      <c r="F73" s="7"/>
      <c r="H73"/>
      <c r="I73"/>
      <c r="S73"/>
      <c r="T73" s="67"/>
      <c r="U73" s="67"/>
      <c r="V73" s="67"/>
      <c r="W73" s="311"/>
      <c r="X73" s="788" t="s">
        <v>22</v>
      </c>
      <c r="Y73" s="317" t="s">
        <v>210</v>
      </c>
      <c r="Z73" s="274">
        <f>O78</f>
        <v>105</v>
      </c>
      <c r="AA73" s="318">
        <f>Q78</f>
        <v>120</v>
      </c>
      <c r="AB73" s="318">
        <f>MIN(S78:T78)</f>
        <v>0</v>
      </c>
      <c r="AC73" s="319">
        <f>MIN(U78:V78)</f>
        <v>0</v>
      </c>
      <c r="AD73" s="126"/>
      <c r="AE73" s="126"/>
      <c r="AF73" s="126"/>
      <c r="AG73" s="126"/>
      <c r="AH73" s="5"/>
      <c r="AJ73" s="5"/>
      <c r="AK73" s="5"/>
      <c r="AN73" s="7"/>
      <c r="AO73" s="7"/>
    </row>
    <row r="74" spans="1:41" ht="17.100000000000001" customHeight="1" thickBot="1">
      <c r="A74" s="7"/>
      <c r="B74" s="68" t="s">
        <v>280</v>
      </c>
      <c r="C74" s="56"/>
      <c r="D74" s="56"/>
      <c r="E74" s="56"/>
      <c r="F74" s="2"/>
      <c r="H74"/>
      <c r="I74"/>
      <c r="S74"/>
      <c r="T74" s="67"/>
      <c r="U74" s="67"/>
      <c r="V74" s="67"/>
      <c r="W74" s="311"/>
      <c r="X74" s="789"/>
      <c r="Y74" s="148" t="s">
        <v>207</v>
      </c>
      <c r="Z74" s="215">
        <f>3.46*($H$15*1000-105)/Z73</f>
        <v>-3.46</v>
      </c>
      <c r="AA74" s="159">
        <f>3.46*($H$15*1000-105)/AA73</f>
        <v>-3.0275000000000003</v>
      </c>
      <c r="AB74" s="159" t="e">
        <f>3.46*($H$15*1000-105)/AB73</f>
        <v>#DIV/0!</v>
      </c>
      <c r="AC74" s="150" t="e">
        <f>3.46*($H$15*1000-105)/AC73</f>
        <v>#DIV/0!</v>
      </c>
      <c r="AD74" s="126"/>
      <c r="AE74" s="126"/>
      <c r="AF74" s="126"/>
      <c r="AG74" s="126"/>
      <c r="AH74" s="5"/>
      <c r="AI74" s="5"/>
      <c r="AJ74" s="5"/>
      <c r="AK74" s="5"/>
      <c r="AN74" s="7"/>
      <c r="AO74" s="7"/>
    </row>
    <row r="75" spans="1:41" ht="17.100000000000001" customHeight="1">
      <c r="B75" s="799" t="s">
        <v>259</v>
      </c>
      <c r="C75" s="800"/>
      <c r="D75" s="720" t="s">
        <v>201</v>
      </c>
      <c r="E75" s="721"/>
      <c r="F75" s="721"/>
      <c r="G75" s="721"/>
      <c r="H75" s="721"/>
      <c r="I75" s="721"/>
      <c r="J75" s="721"/>
      <c r="K75" s="721"/>
      <c r="L75" s="722"/>
      <c r="M75" s="720" t="s">
        <v>369</v>
      </c>
      <c r="N75" s="721"/>
      <c r="O75" s="721"/>
      <c r="P75" s="721"/>
      <c r="Q75" s="721"/>
      <c r="R75" s="721"/>
      <c r="S75" s="721"/>
      <c r="T75" s="721"/>
      <c r="U75" s="721"/>
      <c r="V75" s="722"/>
      <c r="W75" s="311"/>
      <c r="X75" s="789"/>
      <c r="Y75" s="320" t="s">
        <v>208</v>
      </c>
      <c r="Z75" s="321">
        <f>IF(Z74&lt;=30,1,IF(Z74&gt;100,3000/(Z74)^2,1.3-0.01*Z74))</f>
        <v>1</v>
      </c>
      <c r="AA75" s="322">
        <f>IF(AA74&lt;=30,1,IF(AA74&gt;100,3000/(AA74)^2,1.3-0.01*AA74))</f>
        <v>1</v>
      </c>
      <c r="AB75" s="322" t="e">
        <f t="shared" ref="AB75" si="1">IF(AB74&lt;=30,1,IF(AB74&gt;100,3000/(AB74)^2,1.3-0.01*AB74))</f>
        <v>#DIV/0!</v>
      </c>
      <c r="AC75" s="156" t="e">
        <f>IF(AC74&lt;=30,1,IF(AC74&gt;100,3000/(AC74)^2,1.3-0.01*AC74))</f>
        <v>#DIV/0!</v>
      </c>
      <c r="AD75" s="126"/>
      <c r="AE75" s="126"/>
      <c r="AF75" s="126"/>
      <c r="AG75" s="126"/>
      <c r="AH75" s="5"/>
      <c r="AI75" s="5"/>
    </row>
    <row r="76" spans="1:41" ht="17.100000000000001" customHeight="1" thickBot="1">
      <c r="B76" s="801"/>
      <c r="C76" s="802"/>
      <c r="D76" s="805" t="s">
        <v>226</v>
      </c>
      <c r="E76" s="806"/>
      <c r="F76" s="806"/>
      <c r="G76" s="807"/>
      <c r="H76" s="809" t="s">
        <v>196</v>
      </c>
      <c r="I76" s="810"/>
      <c r="J76" s="815" t="s">
        <v>47</v>
      </c>
      <c r="K76" s="806"/>
      <c r="L76" s="816"/>
      <c r="M76" s="820" t="s">
        <v>404</v>
      </c>
      <c r="N76" s="821"/>
      <c r="O76" s="826" t="s">
        <v>32</v>
      </c>
      <c r="P76" s="827"/>
      <c r="Q76" s="826" t="s">
        <v>33</v>
      </c>
      <c r="R76" s="827"/>
      <c r="S76" s="786" t="s">
        <v>205</v>
      </c>
      <c r="T76" s="786"/>
      <c r="U76" s="786" t="s">
        <v>206</v>
      </c>
      <c r="V76" s="787"/>
      <c r="W76" s="323"/>
      <c r="X76" s="790"/>
      <c r="Y76" s="324" t="s">
        <v>277</v>
      </c>
      <c r="Z76" s="216" t="str">
        <f>IF(($H$15-0.105)*1000/O78&lt;=43.3,"","有効細長比150以上")</f>
        <v/>
      </c>
      <c r="AA76" s="325" t="str">
        <f>IF(($H$15-0.105)*1000/Q78&lt;=43.3,"","有効細長比150以上")</f>
        <v/>
      </c>
      <c r="AB76" s="325" t="e">
        <f>IF(($H$15-0.105)*1000/MIN(S78:T78)&lt;=43.3,"","有効細長比150以上")</f>
        <v>#DIV/0!</v>
      </c>
      <c r="AC76" s="161" t="e">
        <f>IF(($H$15-0.105)*1000/MIN(U78:V78)&lt;=43.3,"","有効細長比150以上")</f>
        <v>#DIV/0!</v>
      </c>
      <c r="AD76" s="126"/>
      <c r="AE76" s="126"/>
      <c r="AF76" s="126"/>
      <c r="AG76" s="126"/>
      <c r="AH76" s="5"/>
      <c r="AI76" s="5"/>
    </row>
    <row r="77" spans="1:41" ht="34.35" customHeight="1" thickBot="1">
      <c r="B77" s="801"/>
      <c r="C77" s="802"/>
      <c r="D77" s="596"/>
      <c r="E77" s="597"/>
      <c r="F77" s="597"/>
      <c r="G77" s="808"/>
      <c r="H77" s="811"/>
      <c r="I77" s="812"/>
      <c r="J77" s="817"/>
      <c r="K77" s="597"/>
      <c r="L77" s="818"/>
      <c r="M77" s="822"/>
      <c r="N77" s="823"/>
      <c r="O77" s="791" t="s">
        <v>260</v>
      </c>
      <c r="P77" s="792"/>
      <c r="Q77" s="791" t="s">
        <v>260</v>
      </c>
      <c r="R77" s="792"/>
      <c r="S77" s="69" t="s">
        <v>203</v>
      </c>
      <c r="T77" s="69" t="s">
        <v>204</v>
      </c>
      <c r="U77" s="69" t="s">
        <v>203</v>
      </c>
      <c r="V77" s="70" t="s">
        <v>204</v>
      </c>
      <c r="W77" s="169"/>
      <c r="X77" s="125"/>
      <c r="Y77" s="836" t="s">
        <v>289</v>
      </c>
      <c r="Z77" s="189" t="s">
        <v>32</v>
      </c>
      <c r="AA77" s="315" t="s">
        <v>33</v>
      </c>
      <c r="AB77" s="315" t="s">
        <v>205</v>
      </c>
      <c r="AC77" s="316" t="s">
        <v>209</v>
      </c>
      <c r="AD77" s="200" t="s">
        <v>271</v>
      </c>
      <c r="AE77" s="126"/>
      <c r="AF77" s="126"/>
      <c r="AG77" s="126"/>
      <c r="AH77" s="5"/>
      <c r="AJ77" s="7"/>
      <c r="AK77" s="7"/>
    </row>
    <row r="78" spans="1:41" ht="17.100000000000001" customHeight="1" thickBot="1">
      <c r="B78" s="803"/>
      <c r="C78" s="804"/>
      <c r="D78" s="598"/>
      <c r="E78" s="599"/>
      <c r="F78" s="599"/>
      <c r="G78" s="724"/>
      <c r="H78" s="813"/>
      <c r="I78" s="814"/>
      <c r="J78" s="819"/>
      <c r="K78" s="599"/>
      <c r="L78" s="719"/>
      <c r="M78" s="824"/>
      <c r="N78" s="825"/>
      <c r="O78" s="793">
        <v>105</v>
      </c>
      <c r="P78" s="794"/>
      <c r="Q78" s="793">
        <v>120</v>
      </c>
      <c r="R78" s="794"/>
      <c r="S78" s="21"/>
      <c r="T78" s="21"/>
      <c r="U78" s="21"/>
      <c r="V78" s="22"/>
      <c r="W78" s="226"/>
      <c r="X78" s="126"/>
      <c r="Y78" s="837"/>
      <c r="Z78" s="214" t="str">
        <f>IF(Z76="",IFERROR(ROUNDDOWN(1.1/3*Z75*$M79*O78*O78/$Z$50/1000,1),""),Z76)</f>
        <v/>
      </c>
      <c r="AA78" s="326" t="str">
        <f>IF(AA76="",IFERROR(ROUNDDOWN(1.1/3*AA75*$M79*Q78*Q78/$Z$50/1000,1),""),AA76)</f>
        <v/>
      </c>
      <c r="AB78" s="326" t="e">
        <f>IF(AB76="",IFERROR(ROUNDDOWN(1.1/3*AB75*$M79*S78*T78/$Z$50/1000,1),""),AB76)</f>
        <v>#DIV/0!</v>
      </c>
      <c r="AC78" s="326" t="e">
        <f>IF(AC76="",IFERROR(ROUNDDOWN(1.1/3*AC75*$M79*U78*V78/$Z$50/1000,1),""),AC76)</f>
        <v>#DIV/0!</v>
      </c>
      <c r="AD78" s="327" t="str">
        <f>IF(D79="JAS機械等級区分構造用製材","機械",IF(D79="JAS目視等級区分構造用製材", "目視",IF(D79="無等級材","無等級",IF(D79="JAS同一等級構成集成材","集成材","LVL"))))</f>
        <v>LVL</v>
      </c>
      <c r="AE78" s="126"/>
      <c r="AF78" s="126"/>
      <c r="AG78" s="126"/>
      <c r="AH78" s="7"/>
      <c r="AI78" s="7"/>
      <c r="AJ78" s="7"/>
      <c r="AK78" s="7"/>
    </row>
    <row r="79" spans="1:41" ht="30" customHeight="1">
      <c r="B79" s="828" t="s">
        <v>270</v>
      </c>
      <c r="C79" s="71" t="s">
        <v>148</v>
      </c>
      <c r="D79" s="831"/>
      <c r="E79" s="832"/>
      <c r="F79" s="832"/>
      <c r="G79" s="833"/>
      <c r="H79" s="834"/>
      <c r="I79" s="835"/>
      <c r="J79" s="869"/>
      <c r="K79" s="870"/>
      <c r="L79" s="871"/>
      <c r="M79" s="862" t="str">
        <f>IF($W$72=TRUE,IFERROR(VLOOKUP(D79&amp;H79&amp;J79,柱の圧縮基準強度!$A$4:$F$187,6,0),"該当なし"),"")</f>
        <v/>
      </c>
      <c r="N79" s="779"/>
      <c r="O79" s="795" t="str">
        <f>IF($W$72=TRUE,Z78,"")</f>
        <v/>
      </c>
      <c r="P79" s="796"/>
      <c r="Q79" s="795" t="str">
        <f t="shared" ref="Q79:Q84" si="2">IF($W$72=TRUE,AA78,"")</f>
        <v/>
      </c>
      <c r="R79" s="796"/>
      <c r="S79" s="797" t="str">
        <f t="shared" ref="S79:S84" si="3">IFERROR(IF($W$72=TRUE,AB78,""),"")</f>
        <v/>
      </c>
      <c r="T79" s="797"/>
      <c r="U79" s="797" t="str">
        <f t="shared" ref="U79:U84" si="4">IFERROR(IF($W$72=TRUE,AC78,""),"")</f>
        <v/>
      </c>
      <c r="V79" s="798"/>
      <c r="W79" s="169"/>
      <c r="X79" s="126"/>
      <c r="Y79" s="126"/>
      <c r="Z79" s="215" t="str">
        <f>IF(Z76="",IFERROR(ROUNDDOWN(1.1/3*Z75*$M80*O78*O78/$Z$50/1000,1),""),Z76)</f>
        <v/>
      </c>
      <c r="AA79" s="159" t="str">
        <f>IF(AA76="",IFERROR(ROUNDDOWN(1.1/3*AA75*$M80*Q78*Q78/$Z$50/1000,1),""),AA76)</f>
        <v/>
      </c>
      <c r="AB79" s="159" t="e">
        <f>IF(AB76="",IFERROR(ROUNDDOWN(1.1/3*AB75*$M80*S78*T78/$Z$50/1000,1),""),AB76)</f>
        <v>#DIV/0!</v>
      </c>
      <c r="AC79" s="159" t="e">
        <f>IF(AC76="",IFERROR(ROUNDDOWN(1.1/3*AC75*$M80*U78*V78/$Z$50/1000,1),""),AC76)</f>
        <v>#DIV/0!</v>
      </c>
      <c r="AD79" s="328" t="str">
        <f>IF(D80="JAS機械等級区分構造用製材","機械",IF(D80="JAS目視等級区分構造用製材", "目視",IF(D80="無等級材","無等級",IF(D80="JAS同一等級構成集成材","集成材","LVL"))))</f>
        <v>LVL</v>
      </c>
      <c r="AE79" s="126"/>
      <c r="AF79" s="126"/>
      <c r="AG79" s="126"/>
      <c r="AH79" s="7"/>
      <c r="AI79" s="7"/>
      <c r="AJ79" s="5"/>
      <c r="AK79" s="5"/>
    </row>
    <row r="80" spans="1:41" ht="30" customHeight="1">
      <c r="B80" s="829"/>
      <c r="C80" s="42" t="s">
        <v>149</v>
      </c>
      <c r="D80" s="848"/>
      <c r="E80" s="849"/>
      <c r="F80" s="849"/>
      <c r="G80" s="850"/>
      <c r="H80" s="851"/>
      <c r="I80" s="852"/>
      <c r="J80" s="853"/>
      <c r="K80" s="854"/>
      <c r="L80" s="855"/>
      <c r="M80" s="856" t="str">
        <f>IF($W$72=TRUE,IFERROR(VLOOKUP(D80&amp;H80&amp;J80,柱の圧縮基準強度!$A$4:$F$187,6,0),"該当なし"),"")</f>
        <v/>
      </c>
      <c r="N80" s="773"/>
      <c r="O80" s="863" t="str">
        <f t="shared" ref="O80:O84" si="5">IF($W$72=TRUE,Z79,"")</f>
        <v/>
      </c>
      <c r="P80" s="864"/>
      <c r="Q80" s="863" t="str">
        <f t="shared" si="2"/>
        <v/>
      </c>
      <c r="R80" s="864"/>
      <c r="S80" s="865" t="str">
        <f t="shared" si="3"/>
        <v/>
      </c>
      <c r="T80" s="865"/>
      <c r="U80" s="865" t="str">
        <f t="shared" si="4"/>
        <v/>
      </c>
      <c r="V80" s="868"/>
      <c r="W80" s="227"/>
      <c r="X80" s="126"/>
      <c r="Y80" s="126"/>
      <c r="Z80" s="215" t="str">
        <f>IF(Z76="",IFERROR(ROUNDDOWN(1.1/3*Z75*$M81*O78*O78/$Z$50/1000,1),""),Z76)</f>
        <v/>
      </c>
      <c r="AA80" s="159" t="str">
        <f>IF(AA76="",IFERROR(ROUNDDOWN(1.1/3*AA75*$M81*Q78*Q78/$Z$50/1000,1),""),AA76)</f>
        <v/>
      </c>
      <c r="AB80" s="159" t="e">
        <f>IF(AB76="",IFERROR(ROUNDDOWN(1.1/3*AB75*$M81*S78*T78/$Z$50/1000,1),""),AB76)</f>
        <v>#DIV/0!</v>
      </c>
      <c r="AC80" s="159" t="e">
        <f>IF(AC76="",IFERROR(ROUNDDOWN(1.1/3*AC75*$M81*U78*V78/$Z$50/1000,1),""),AC76)</f>
        <v>#DIV/0!</v>
      </c>
      <c r="AD80" s="328"/>
      <c r="AE80" s="126"/>
      <c r="AF80" s="126"/>
      <c r="AG80" s="126"/>
      <c r="AH80" s="5"/>
      <c r="AI80" s="5"/>
      <c r="AJ80" s="7"/>
      <c r="AK80" s="7"/>
    </row>
    <row r="81" spans="2:37" ht="30" customHeight="1" thickBot="1">
      <c r="B81" s="830"/>
      <c r="C81" s="72" t="s">
        <v>154</v>
      </c>
      <c r="D81" s="838" t="s">
        <v>460</v>
      </c>
      <c r="E81" s="839"/>
      <c r="F81" s="839"/>
      <c r="G81" s="839"/>
      <c r="H81" s="839"/>
      <c r="I81" s="840"/>
      <c r="J81" s="841" t="s">
        <v>299</v>
      </c>
      <c r="K81" s="842"/>
      <c r="L81" s="843"/>
      <c r="M81" s="844"/>
      <c r="N81" s="845"/>
      <c r="O81" s="846" t="str">
        <f t="shared" si="5"/>
        <v/>
      </c>
      <c r="P81" s="847"/>
      <c r="Q81" s="846" t="str">
        <f t="shared" si="2"/>
        <v/>
      </c>
      <c r="R81" s="847"/>
      <c r="S81" s="874" t="str">
        <f t="shared" si="3"/>
        <v/>
      </c>
      <c r="T81" s="874"/>
      <c r="U81" s="874" t="str">
        <f t="shared" si="4"/>
        <v/>
      </c>
      <c r="V81" s="875"/>
      <c r="W81" s="227"/>
      <c r="X81" s="126"/>
      <c r="Y81" s="126"/>
      <c r="Z81" s="215" t="str">
        <f>IF(Z76="",IFERROR(ROUNDDOWN(1.1/3*Z75*$M82*O78*O78/$AA$50/1000,1),""),Z76)</f>
        <v/>
      </c>
      <c r="AA81" s="159" t="str">
        <f>IF(AA76="",IFERROR(ROUNDDOWN(1.1/3*AA75*$M82*Q78*Q78/$AA$50/1000,1),""),AA76)</f>
        <v/>
      </c>
      <c r="AB81" s="159" t="e">
        <f>IF(AB76="",IFERROR(ROUNDDOWN(1.1/3*AB75*$M82*S78*T78/$AA$50/1000,1),""),AB76)</f>
        <v>#DIV/0!</v>
      </c>
      <c r="AC81" s="159" t="e">
        <f>IF(AC76="",IFERROR(ROUNDDOWN(1.1/3*AC75*$M82*U78*V78/$AA$50/1000,1),""),AC76)</f>
        <v>#DIV/0!</v>
      </c>
      <c r="AD81" s="328" t="str">
        <f>IF(D82="JAS機械等級区分構造用製材","機械",IF(D82="JAS目視等級区分構造用製材", "目視",IF(D82="無等級材","無等級",IF(D82="JAS同一等級構成集成材","集成材","LVL"))))</f>
        <v>LVL</v>
      </c>
      <c r="AE81" s="126"/>
      <c r="AF81" s="126"/>
      <c r="AG81" s="126"/>
      <c r="AH81" s="5"/>
      <c r="AI81" s="7"/>
      <c r="AJ81" s="7"/>
      <c r="AK81" s="7"/>
    </row>
    <row r="82" spans="2:37" ht="30" customHeight="1" thickBot="1">
      <c r="B82" s="828" t="s">
        <v>268</v>
      </c>
      <c r="C82" s="71" t="s">
        <v>148</v>
      </c>
      <c r="D82" s="831"/>
      <c r="E82" s="832"/>
      <c r="F82" s="832"/>
      <c r="G82" s="833"/>
      <c r="H82" s="834"/>
      <c r="I82" s="835"/>
      <c r="J82" s="869"/>
      <c r="K82" s="870"/>
      <c r="L82" s="871"/>
      <c r="M82" s="862" t="str">
        <f>IF($W$72=TRUE,IFERROR(VLOOKUP(D82&amp;H82&amp;J82,柱の圧縮基準強度!$A$4:$F$187,6,0),"該当なし"),"")</f>
        <v/>
      </c>
      <c r="N82" s="779"/>
      <c r="O82" s="795" t="str">
        <f t="shared" si="5"/>
        <v/>
      </c>
      <c r="P82" s="796"/>
      <c r="Q82" s="795" t="str">
        <f t="shared" si="2"/>
        <v/>
      </c>
      <c r="R82" s="796"/>
      <c r="S82" s="797" t="str">
        <f t="shared" si="3"/>
        <v/>
      </c>
      <c r="T82" s="797"/>
      <c r="U82" s="797" t="str">
        <f t="shared" si="4"/>
        <v/>
      </c>
      <c r="V82" s="798"/>
      <c r="W82" s="227"/>
      <c r="X82" s="126"/>
      <c r="Y82" s="126"/>
      <c r="Z82" s="216" t="str">
        <f>IF(Z76="",IFERROR(ROUNDDOWN(1.1/3*Z75*$M83*O78*O78/$AA$50/1000,1),""),Z76)</f>
        <v/>
      </c>
      <c r="AA82" s="325" t="str">
        <f>IF(AA76="",IFERROR(ROUNDDOWN(1.1/3*AA75*$M83*Q78*Q78/$AA$50/1000,1),""),AA76)</f>
        <v/>
      </c>
      <c r="AB82" s="325" t="e">
        <f>IF(AB76="",IFERROR(ROUNDDOWN(1.1/3*AB75*$M83*S78*T78/$AA$50/1000,1),""),AB76)</f>
        <v>#DIV/0!</v>
      </c>
      <c r="AC82" s="325" t="e">
        <f>IF(AC76="",IFERROR(ROUNDDOWN(1.1/3*AC75*$M83*U78*V78/$AA$50/1000,1),""),AC76)</f>
        <v>#DIV/0!</v>
      </c>
      <c r="AD82" s="329" t="str">
        <f>IF(D83="JAS機械等級区分構造用製材","機械",IF(D83="JAS目視等級区分構造用製材", "目視",IF(D83="無等級材","無等級",IF(D83="JAS同一等級構成集成材","集成材","LVL"))))</f>
        <v>LVL</v>
      </c>
      <c r="AE82" s="126"/>
      <c r="AF82" s="126"/>
      <c r="AG82" s="126"/>
      <c r="AH82" s="5"/>
      <c r="AI82" s="7"/>
      <c r="AJ82" s="7"/>
    </row>
    <row r="83" spans="2:37" ht="30" customHeight="1" thickBot="1">
      <c r="B83" s="829"/>
      <c r="C83" s="42" t="s">
        <v>149</v>
      </c>
      <c r="D83" s="848"/>
      <c r="E83" s="849"/>
      <c r="F83" s="849"/>
      <c r="G83" s="850"/>
      <c r="H83" s="851"/>
      <c r="I83" s="852"/>
      <c r="J83" s="853"/>
      <c r="K83" s="854"/>
      <c r="L83" s="855"/>
      <c r="M83" s="856" t="str">
        <f>IF($W$72=TRUE,IFERROR(VLOOKUP(D83&amp;H83&amp;J83,柱の圧縮基準強度!$A$4:$F$187,6,0),"該当なし"),"")</f>
        <v/>
      </c>
      <c r="N83" s="773"/>
      <c r="O83" s="863" t="str">
        <f t="shared" si="5"/>
        <v/>
      </c>
      <c r="P83" s="864"/>
      <c r="Q83" s="863" t="str">
        <f t="shared" si="2"/>
        <v/>
      </c>
      <c r="R83" s="864"/>
      <c r="S83" s="865" t="str">
        <f t="shared" si="3"/>
        <v/>
      </c>
      <c r="T83" s="865"/>
      <c r="U83" s="865" t="str">
        <f t="shared" si="4"/>
        <v/>
      </c>
      <c r="V83" s="868"/>
      <c r="W83" s="227"/>
      <c r="X83" s="126"/>
      <c r="Y83" s="126"/>
      <c r="Z83" s="216" t="str">
        <f>IF(Z76="",IFERROR(ROUNDDOWN(1.1/3*Z75*$M84*O78*O78/$AA$50/1000,1),""),Z76)</f>
        <v/>
      </c>
      <c r="AA83" s="325" t="str">
        <f>IF(AA76="",IFERROR(ROUNDDOWN(1.1/3*AA75*$M84*Q78*Q78/$AA$50/1000,1),""),AA76)</f>
        <v/>
      </c>
      <c r="AB83" s="325" t="e">
        <f>IF(AB76="",IFERROR(ROUNDDOWN(1.1/3*AB75*$M84*S78*T78/$AA$50/1000,1),""),AB76)</f>
        <v>#DIV/0!</v>
      </c>
      <c r="AC83" s="325" t="e">
        <f>IF(AC76="",IFERROR(ROUNDDOWN(1.1/3*AC75*$M84*U78*V78/$AA$50/1000,1),""),AC76)</f>
        <v>#DIV/0!</v>
      </c>
      <c r="AD83" s="329"/>
      <c r="AE83" s="126"/>
      <c r="AF83" s="126"/>
      <c r="AG83" s="126"/>
      <c r="AH83" s="5"/>
      <c r="AI83" s="7"/>
    </row>
    <row r="84" spans="2:37" ht="30" customHeight="1" thickBot="1">
      <c r="B84" s="830"/>
      <c r="C84" s="72" t="s">
        <v>154</v>
      </c>
      <c r="D84" s="838" t="s">
        <v>460</v>
      </c>
      <c r="E84" s="839"/>
      <c r="F84" s="839"/>
      <c r="G84" s="839"/>
      <c r="H84" s="839"/>
      <c r="I84" s="840"/>
      <c r="J84" s="841" t="s">
        <v>299</v>
      </c>
      <c r="K84" s="842"/>
      <c r="L84" s="843"/>
      <c r="M84" s="844"/>
      <c r="N84" s="845"/>
      <c r="O84" s="846" t="str">
        <f t="shared" si="5"/>
        <v/>
      </c>
      <c r="P84" s="847"/>
      <c r="Q84" s="846" t="str">
        <f t="shared" si="2"/>
        <v/>
      </c>
      <c r="R84" s="847"/>
      <c r="S84" s="874" t="str">
        <f t="shared" si="3"/>
        <v/>
      </c>
      <c r="T84" s="874"/>
      <c r="U84" s="874" t="str">
        <f t="shared" si="4"/>
        <v/>
      </c>
      <c r="V84" s="875"/>
      <c r="W84" s="227"/>
      <c r="X84" s="126"/>
      <c r="Y84" s="126"/>
      <c r="Z84" s="126"/>
      <c r="AA84" s="126"/>
      <c r="AB84" s="126"/>
      <c r="AC84" s="126"/>
      <c r="AD84" s="126"/>
      <c r="AE84" s="126"/>
      <c r="AF84" s="126"/>
      <c r="AG84" s="126"/>
      <c r="AH84" s="5"/>
    </row>
    <row r="85" spans="2:37" ht="17.100000000000001" customHeight="1">
      <c r="B85" s="7" t="s">
        <v>286</v>
      </c>
      <c r="V85" s="349"/>
      <c r="W85" s="81"/>
      <c r="AH85" s="5"/>
    </row>
    <row r="86" spans="2:37" ht="30" customHeight="1">
      <c r="T86" s="74"/>
      <c r="U86" s="74"/>
      <c r="V86" s="19"/>
      <c r="W86" s="81"/>
      <c r="AH86" s="5"/>
    </row>
    <row r="87" spans="2:37" ht="30" customHeight="1">
      <c r="T87" s="74"/>
      <c r="U87" s="38"/>
      <c r="V87" s="20"/>
      <c r="W87" s="81"/>
      <c r="AH87" s="5"/>
    </row>
    <row r="88" spans="2:37" ht="30" customHeight="1">
      <c r="U88" s="38"/>
      <c r="V88" s="20"/>
      <c r="W88" s="81"/>
      <c r="AH88" s="5"/>
    </row>
    <row r="89" spans="2:37" ht="30" customHeight="1">
      <c r="U89" s="19"/>
      <c r="W89" s="81"/>
      <c r="AH89" s="5"/>
    </row>
    <row r="90" spans="2:37" ht="30" customHeight="1">
      <c r="U90" s="19"/>
      <c r="V90" s="15"/>
      <c r="W90" s="81"/>
      <c r="AH90" s="5"/>
    </row>
    <row r="91" spans="2:37" ht="30" customHeight="1">
      <c r="U91" s="19"/>
      <c r="V91" s="15"/>
      <c r="W91" s="20"/>
      <c r="AH91" s="5"/>
    </row>
    <row r="92" spans="2:37" ht="30" customHeight="1">
      <c r="U92" s="19"/>
      <c r="V92" s="14"/>
      <c r="W92" s="20"/>
      <c r="AH92" s="5"/>
    </row>
    <row r="93" spans="2:37" ht="30" customHeight="1">
      <c r="U93" s="19"/>
      <c r="AH93" s="5"/>
    </row>
    <row r="94" spans="2:37" ht="30" customHeight="1">
      <c r="AH94" s="5"/>
    </row>
    <row r="95" spans="2:37" ht="30" customHeight="1">
      <c r="AH95" s="5"/>
    </row>
    <row r="96" spans="2:37" ht="18" customHeight="1">
      <c r="V96" s="17"/>
    </row>
    <row r="97" ht="30" customHeight="1"/>
    <row r="98" ht="30" customHeight="1"/>
  </sheetData>
  <sheetProtection algorithmName="SHA-512" hashValue="V1KYELptzlkbsvRapZSrcq/3Z/2EEY61TxJP7/demraRdtLO8fGDrTikPA6752b/S8shSPPiobcoEupMtQOsKA==" saltValue="0eJ7279XZILEE8CTQJpLEg==" spinCount="100000" sheet="1" objects="1" scenarios="1"/>
  <mergeCells count="270">
    <mergeCell ref="K35:O38"/>
    <mergeCell ref="P36:Q36"/>
    <mergeCell ref="P37:Q37"/>
    <mergeCell ref="P38:Q38"/>
    <mergeCell ref="X38:Y38"/>
    <mergeCell ref="J44:T44"/>
    <mergeCell ref="J43:V43"/>
    <mergeCell ref="Q82:R82"/>
    <mergeCell ref="F55:H56"/>
    <mergeCell ref="F57:H57"/>
    <mergeCell ref="D54:H54"/>
    <mergeCell ref="B59:R59"/>
    <mergeCell ref="D69:K69"/>
    <mergeCell ref="L69:P69"/>
    <mergeCell ref="Q69:S69"/>
    <mergeCell ref="Q65:S65"/>
    <mergeCell ref="B57:C57"/>
    <mergeCell ref="D57:E57"/>
    <mergeCell ref="T69:V69"/>
    <mergeCell ref="B71:T71"/>
    <mergeCell ref="B75:C78"/>
    <mergeCell ref="B66:B69"/>
    <mergeCell ref="D66:H66"/>
    <mergeCell ref="I66:K66"/>
    <mergeCell ref="Y77:Y78"/>
    <mergeCell ref="M79:N79"/>
    <mergeCell ref="M80:N80"/>
    <mergeCell ref="Q67:S67"/>
    <mergeCell ref="T67:V67"/>
    <mergeCell ref="D68:H68"/>
    <mergeCell ref="I68:K68"/>
    <mergeCell ref="L68:P68"/>
    <mergeCell ref="Q68:S68"/>
    <mergeCell ref="T68:V68"/>
    <mergeCell ref="O79:P79"/>
    <mergeCell ref="Q79:R79"/>
    <mergeCell ref="S79:T79"/>
    <mergeCell ref="U79:V79"/>
    <mergeCell ref="X73:X76"/>
    <mergeCell ref="O77:P77"/>
    <mergeCell ref="Q77:R77"/>
    <mergeCell ref="O78:P78"/>
    <mergeCell ref="D75:L75"/>
    <mergeCell ref="M75:V75"/>
    <mergeCell ref="U83:V83"/>
    <mergeCell ref="D84:I84"/>
    <mergeCell ref="J84:L84"/>
    <mergeCell ref="O84:P84"/>
    <mergeCell ref="Q84:R84"/>
    <mergeCell ref="S84:T84"/>
    <mergeCell ref="U84:V84"/>
    <mergeCell ref="S81:T81"/>
    <mergeCell ref="L66:P66"/>
    <mergeCell ref="Q66:S66"/>
    <mergeCell ref="T66:V66"/>
    <mergeCell ref="D67:H67"/>
    <mergeCell ref="I67:K67"/>
    <mergeCell ref="L67:P67"/>
    <mergeCell ref="J81:L81"/>
    <mergeCell ref="O81:P81"/>
    <mergeCell ref="Q81:R81"/>
    <mergeCell ref="D83:G83"/>
    <mergeCell ref="H83:I83"/>
    <mergeCell ref="J83:L83"/>
    <mergeCell ref="O83:P83"/>
    <mergeCell ref="Q83:R83"/>
    <mergeCell ref="S83:T83"/>
    <mergeCell ref="U81:V81"/>
    <mergeCell ref="B82:B84"/>
    <mergeCell ref="D82:G82"/>
    <mergeCell ref="H82:I82"/>
    <mergeCell ref="J82:L82"/>
    <mergeCell ref="O82:P82"/>
    <mergeCell ref="B79:B81"/>
    <mergeCell ref="D79:G79"/>
    <mergeCell ref="H79:I79"/>
    <mergeCell ref="J79:L79"/>
    <mergeCell ref="M84:N84"/>
    <mergeCell ref="M83:N83"/>
    <mergeCell ref="M82:N82"/>
    <mergeCell ref="U82:V82"/>
    <mergeCell ref="U80:V80"/>
    <mergeCell ref="D81:I81"/>
    <mergeCell ref="Q78:R78"/>
    <mergeCell ref="H76:I78"/>
    <mergeCell ref="J76:L78"/>
    <mergeCell ref="M76:N78"/>
    <mergeCell ref="O76:P76"/>
    <mergeCell ref="Q76:R76"/>
    <mergeCell ref="S76:T76"/>
    <mergeCell ref="D76:G78"/>
    <mergeCell ref="U76:V76"/>
    <mergeCell ref="M81:N81"/>
    <mergeCell ref="D80:G80"/>
    <mergeCell ref="H80:I80"/>
    <mergeCell ref="J80:L80"/>
    <mergeCell ref="O80:P80"/>
    <mergeCell ref="Q80:R80"/>
    <mergeCell ref="S80:T80"/>
    <mergeCell ref="S82:T82"/>
    <mergeCell ref="T65:V65"/>
    <mergeCell ref="S59:U59"/>
    <mergeCell ref="B61:T61"/>
    <mergeCell ref="B63:T63"/>
    <mergeCell ref="B64:C65"/>
    <mergeCell ref="D64:P64"/>
    <mergeCell ref="Q64:V64"/>
    <mergeCell ref="D65:H65"/>
    <mergeCell ref="I65:K65"/>
    <mergeCell ref="L65:P65"/>
    <mergeCell ref="AC47:AC49"/>
    <mergeCell ref="AD47:AD49"/>
    <mergeCell ref="B54:C56"/>
    <mergeCell ref="X50:Y50"/>
    <mergeCell ref="D55:E56"/>
    <mergeCell ref="X47:Y49"/>
    <mergeCell ref="Z47:Z49"/>
    <mergeCell ref="AA47:AA49"/>
    <mergeCell ref="AB47:AB49"/>
    <mergeCell ref="F44:G44"/>
    <mergeCell ref="H44:I44"/>
    <mergeCell ref="F45:G45"/>
    <mergeCell ref="H45:I45"/>
    <mergeCell ref="U38:V38"/>
    <mergeCell ref="X37:Y37"/>
    <mergeCell ref="B42:B45"/>
    <mergeCell ref="C42:E45"/>
    <mergeCell ref="F42:G42"/>
    <mergeCell ref="H42:I42"/>
    <mergeCell ref="F43:G43"/>
    <mergeCell ref="H43:I43"/>
    <mergeCell ref="C35:G38"/>
    <mergeCell ref="H35:J38"/>
    <mergeCell ref="Q35:V35"/>
    <mergeCell ref="B14:B38"/>
    <mergeCell ref="R37:T37"/>
    <mergeCell ref="U37:V37"/>
    <mergeCell ref="R38:T38"/>
    <mergeCell ref="K31:N31"/>
    <mergeCell ref="R36:T36"/>
    <mergeCell ref="U36:V36"/>
    <mergeCell ref="H21:J21"/>
    <mergeCell ref="H24:J24"/>
    <mergeCell ref="AB33:AC33"/>
    <mergeCell ref="O33:Q33"/>
    <mergeCell ref="R33:T33"/>
    <mergeCell ref="U33:V33"/>
    <mergeCell ref="O34:Q34"/>
    <mergeCell ref="R34:T34"/>
    <mergeCell ref="U34:V34"/>
    <mergeCell ref="AE28:AF28"/>
    <mergeCell ref="P31:V31"/>
    <mergeCell ref="AE29:AF29"/>
    <mergeCell ref="O32:Q32"/>
    <mergeCell ref="R32:T32"/>
    <mergeCell ref="AE32:AF32"/>
    <mergeCell ref="Z27:AA27"/>
    <mergeCell ref="C27:G29"/>
    <mergeCell ref="H27:J29"/>
    <mergeCell ref="K27:Q29"/>
    <mergeCell ref="R27:V27"/>
    <mergeCell ref="Z28:AA28"/>
    <mergeCell ref="R28:V28"/>
    <mergeCell ref="R29:V29"/>
    <mergeCell ref="C30:G34"/>
    <mergeCell ref="H30:J34"/>
    <mergeCell ref="K30:V30"/>
    <mergeCell ref="Z33:AA33"/>
    <mergeCell ref="M33:N33"/>
    <mergeCell ref="M34:N34"/>
    <mergeCell ref="M32:N32"/>
    <mergeCell ref="X24:X25"/>
    <mergeCell ref="Z24:AA24"/>
    <mergeCell ref="C24:G24"/>
    <mergeCell ref="C26:G26"/>
    <mergeCell ref="H26:J26"/>
    <mergeCell ref="K26:V26"/>
    <mergeCell ref="Z25:AA25"/>
    <mergeCell ref="C25:G25"/>
    <mergeCell ref="H25:J25"/>
    <mergeCell ref="K25:V25"/>
    <mergeCell ref="Z26:AA26"/>
    <mergeCell ref="K24:N24"/>
    <mergeCell ref="O24:P24"/>
    <mergeCell ref="Q24:V24"/>
    <mergeCell ref="K21:V21"/>
    <mergeCell ref="Z21:AA21"/>
    <mergeCell ref="Z22:AA22"/>
    <mergeCell ref="C19:G19"/>
    <mergeCell ref="H19:J19"/>
    <mergeCell ref="K19:V19"/>
    <mergeCell ref="X19:X23"/>
    <mergeCell ref="Z19:AA19"/>
    <mergeCell ref="C20:G20"/>
    <mergeCell ref="H20:J20"/>
    <mergeCell ref="K20:V20"/>
    <mergeCell ref="Z20:AA20"/>
    <mergeCell ref="C21:G21"/>
    <mergeCell ref="C22:G22"/>
    <mergeCell ref="H22:J22"/>
    <mergeCell ref="K22:V22"/>
    <mergeCell ref="Z23:AA23"/>
    <mergeCell ref="C23:G23"/>
    <mergeCell ref="H23:J23"/>
    <mergeCell ref="K23:V23"/>
    <mergeCell ref="C18:G18"/>
    <mergeCell ref="H18:J18"/>
    <mergeCell ref="K18:V18"/>
    <mergeCell ref="Z18:AA18"/>
    <mergeCell ref="AA14:AA15"/>
    <mergeCell ref="AB14:AC14"/>
    <mergeCell ref="C15:G15"/>
    <mergeCell ref="H15:J15"/>
    <mergeCell ref="K15:V15"/>
    <mergeCell ref="C16:G16"/>
    <mergeCell ref="H16:J16"/>
    <mergeCell ref="K16:V16"/>
    <mergeCell ref="X16:X17"/>
    <mergeCell ref="AA16:AA17"/>
    <mergeCell ref="C14:G14"/>
    <mergeCell ref="H14:J14"/>
    <mergeCell ref="K14:V14"/>
    <mergeCell ref="A10:T10"/>
    <mergeCell ref="Z9:AA9"/>
    <mergeCell ref="Z10:AA10"/>
    <mergeCell ref="X11:X12"/>
    <mergeCell ref="Z11:AA11"/>
    <mergeCell ref="AC11:AD12"/>
    <mergeCell ref="Z12:AA12"/>
    <mergeCell ref="C17:G17"/>
    <mergeCell ref="H17:J17"/>
    <mergeCell ref="K17:V17"/>
    <mergeCell ref="AF6:AF9"/>
    <mergeCell ref="Z7:AA7"/>
    <mergeCell ref="Z8:AA8"/>
    <mergeCell ref="AD4:AD5"/>
    <mergeCell ref="Z5:AA5"/>
    <mergeCell ref="Z4:AA4"/>
    <mergeCell ref="AC4:AC5"/>
    <mergeCell ref="A4:C4"/>
    <mergeCell ref="D4:H4"/>
    <mergeCell ref="I4:J4"/>
    <mergeCell ref="K4:V4"/>
    <mergeCell ref="A5:C5"/>
    <mergeCell ref="D5:G5"/>
    <mergeCell ref="H5:I5"/>
    <mergeCell ref="J45:T45"/>
    <mergeCell ref="A1:V2"/>
    <mergeCell ref="Z1:AA1"/>
    <mergeCell ref="X2:Y2"/>
    <mergeCell ref="Z2:AA2"/>
    <mergeCell ref="Z3:AA3"/>
    <mergeCell ref="AC3:AD3"/>
    <mergeCell ref="Z6:AA6"/>
    <mergeCell ref="AC6:AC9"/>
    <mergeCell ref="AD6:AD9"/>
    <mergeCell ref="J5:K5"/>
    <mergeCell ref="M5:N5"/>
    <mergeCell ref="O5:Q5"/>
    <mergeCell ref="R5:S5"/>
    <mergeCell ref="T5:V5"/>
    <mergeCell ref="A6:C6"/>
    <mergeCell ref="D6:F6"/>
    <mergeCell ref="H6:I6"/>
    <mergeCell ref="J6:K6"/>
    <mergeCell ref="M6:N6"/>
    <mergeCell ref="O6:Q6"/>
    <mergeCell ref="Z13:AA13"/>
    <mergeCell ref="AC13:AD13"/>
    <mergeCell ref="X14:X15"/>
  </mergeCells>
  <phoneticPr fontId="1"/>
  <conditionalFormatting sqref="A10">
    <cfRule type="cellIs" dxfId="19" priority="4" operator="equal">
      <formula>"※チェックボックスはいずれかひとつを選択してください。"</formula>
    </cfRule>
  </conditionalFormatting>
  <conditionalFormatting sqref="H19">
    <cfRule type="cellIs" priority="8" operator="equal">
      <formula>"-"</formula>
    </cfRule>
  </conditionalFormatting>
  <conditionalFormatting sqref="K17">
    <cfRule type="cellIs" dxfId="18" priority="5" operator="equal">
      <formula>"プルダウンで「－」を選択してください。"</formula>
    </cfRule>
  </conditionalFormatting>
  <conditionalFormatting sqref="K19">
    <cfRule type="cellIs" dxfId="17" priority="7" operator="equal">
      <formula>"プルダウンで「－」を選択してください。"</formula>
    </cfRule>
  </conditionalFormatting>
  <conditionalFormatting sqref="K20:K21">
    <cfRule type="cellIs" dxfId="16" priority="1" operator="equal">
      <formula>"左記の数値を削除してください。"</formula>
    </cfRule>
  </conditionalFormatting>
  <conditionalFormatting sqref="K19:V19">
    <cfRule type="cellIs" dxfId="15" priority="2" operator="equal">
      <formula>"プルダウン選択してください。"</formula>
    </cfRule>
  </conditionalFormatting>
  <conditionalFormatting sqref="P31">
    <cfRule type="cellIs" dxfId="14" priority="9" operator="equal">
      <formula>"下記の数値を削除してください"</formula>
    </cfRule>
    <cfRule type="cellIs" dxfId="13" priority="10" operator="equal">
      <formula>"下記へ数値入力してください。"</formula>
    </cfRule>
  </conditionalFormatting>
  <conditionalFormatting sqref="Q35:R35">
    <cfRule type="cellIs" dxfId="12" priority="12" operator="equal">
      <formula>"下記へ数値入力してください。"</formula>
    </cfRule>
  </conditionalFormatting>
  <conditionalFormatting sqref="R27 Q35:V35">
    <cfRule type="cellIs" dxfId="11" priority="11" operator="equal">
      <formula>"下記の数値を削除してください"</formula>
    </cfRule>
  </conditionalFormatting>
  <conditionalFormatting sqref="R27">
    <cfRule type="cellIs" dxfId="10" priority="13" operator="equal">
      <formula>"下記へ数値入力してください。"</formula>
    </cfRule>
  </conditionalFormatting>
  <dataValidations count="13">
    <dataValidation type="list" allowBlank="1" showInputMessage="1" showErrorMessage="1" sqref="L66:L68" xr:uid="{00000000-0002-0000-0100-000001000000}">
      <formula1>INDIRECT(AE65)</formula1>
    </dataValidation>
    <dataValidation type="list" allowBlank="1" showInputMessage="1" showErrorMessage="1" sqref="H19" xr:uid="{00000000-0002-0000-0100-000002000000}">
      <formula1>$AE$11:$AE$12</formula1>
    </dataValidation>
    <dataValidation type="list" allowBlank="1" showInputMessage="1" showErrorMessage="1" sqref="H30" xr:uid="{00000000-0002-0000-0100-000003000000}">
      <formula1>$Y$11:$Y$12</formula1>
    </dataValidation>
    <dataValidation type="list" allowBlank="1" showInputMessage="1" showErrorMessage="1" sqref="H79:H80 H82:H83" xr:uid="{00000000-0002-0000-0100-000004000000}">
      <formula1>INDIRECT(D79)</formula1>
    </dataValidation>
    <dataValidation type="list" allowBlank="1" showInputMessage="1" showErrorMessage="1" sqref="I66:I68" xr:uid="{00000000-0002-0000-0100-000005000000}">
      <formula1>INDIRECT(D66)</formula1>
    </dataValidation>
    <dataValidation type="list" allowBlank="1" showInputMessage="1" showErrorMessage="1" sqref="H17" xr:uid="{00000000-0002-0000-0100-000006000000}">
      <formula1>$AE$6:$AE$9</formula1>
    </dataValidation>
    <dataValidation type="list" allowBlank="1" showInputMessage="1" showErrorMessage="1" sqref="H26" xr:uid="{00000000-0002-0000-0100-000007000000}">
      <formula1>$Y$19:$Y$23</formula1>
    </dataValidation>
    <dataValidation type="list" allowBlank="1" showInputMessage="1" showErrorMessage="1" sqref="J82:J83 J79:J80" xr:uid="{00000000-0002-0000-0100-000008000000}">
      <formula1>INDIRECT(AD78)</formula1>
    </dataValidation>
    <dataValidation type="list" allowBlank="1" showInputMessage="1" showErrorMessage="1" sqref="H25" xr:uid="{00000000-0002-0000-0100-000009000000}">
      <formula1>$Y$6:$Y$8</formula1>
    </dataValidation>
    <dataValidation type="list" allowBlank="1" showInputMessage="1" showErrorMessage="1" sqref="H18" xr:uid="{00000000-0002-0000-0100-00000A000000}">
      <formula1>$AE$4:$AE$5</formula1>
    </dataValidation>
    <dataValidation type="list" allowBlank="1" showInputMessage="1" showErrorMessage="1" sqref="H35" xr:uid="{00000000-0002-0000-0100-00000B000000}">
      <formula1>$Y$24:$Y$25</formula1>
    </dataValidation>
    <dataValidation type="list" allowBlank="1" showInputMessage="1" showErrorMessage="1" sqref="H27:J29" xr:uid="{00000000-0002-0000-0100-00000C000000}">
      <formula1>$Y$3:$Y$5</formula1>
    </dataValidation>
    <dataValidation type="list" allowBlank="1" showInputMessage="1" showErrorMessage="1" sqref="D5:D7" xr:uid="{00000000-0002-0000-0100-00000D000000}">
      <formula1>$AG$3:$AG$5</formula1>
    </dataValidation>
  </dataValidations>
  <hyperlinks>
    <hyperlink ref="S59:U59" location="表計算ツールの解説・注意事項!A253" display="こちら。" xr:uid="{00000000-0004-0000-0100-000000000000}"/>
    <hyperlink ref="I53" location="表計算ツールの解説・注意事項!A139" display="こちら。" xr:uid="{00000000-0004-0000-0100-000001000000}"/>
    <hyperlink ref="I62" location="表計算ツールの解説・注意事項!A206" display="こちら。" xr:uid="{00000000-0004-0000-0100-000002000000}"/>
    <hyperlink ref="H39" location="表計算ツールの解説・注意事項!A85" display="こちら。" xr:uid="{00000000-0004-0000-0100-000003000000}"/>
    <hyperlink ref="I72" location="表計算ツールの解説・注意事項!A218" display="こちら。" xr:uid="{00000000-0004-0000-0100-000004000000}"/>
  </hyperlinks>
  <pageMargins left="0.70866141732283472" right="0.70866141732283472" top="0.74803149606299213" bottom="0.74803149606299213" header="0.31496062992125984" footer="0.31496062992125984"/>
  <pageSetup paperSize="9" scale="71" fitToHeight="0" orientation="portrait" r:id="rId1"/>
  <rowBreaks count="1" manualBreakCount="1">
    <brk id="59" max="32" man="1"/>
  </rowBreaks>
  <colBreaks count="1" manualBreakCount="1">
    <brk id="22" max="84"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0</xdr:col>
                    <xdr:colOff>0</xdr:colOff>
                    <xdr:row>60</xdr:row>
                    <xdr:rowOff>0</xdr:rowOff>
                  </from>
                  <to>
                    <xdr:col>1</xdr:col>
                    <xdr:colOff>19050</xdr:colOff>
                    <xdr:row>61</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0</xdr:col>
                    <xdr:colOff>28575</xdr:colOff>
                    <xdr:row>70</xdr:row>
                    <xdr:rowOff>28575</xdr:rowOff>
                  </from>
                  <to>
                    <xdr:col>0</xdr:col>
                    <xdr:colOff>266700</xdr:colOff>
                    <xdr:row>71</xdr:row>
                    <xdr:rowOff>38100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0</xdr:col>
                    <xdr:colOff>0</xdr:colOff>
                    <xdr:row>50</xdr:row>
                    <xdr:rowOff>219075</xdr:rowOff>
                  </from>
                  <to>
                    <xdr:col>1</xdr:col>
                    <xdr:colOff>19050</xdr:colOff>
                    <xdr:row>52</xdr:row>
                    <xdr:rowOff>19050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0</xdr:col>
                    <xdr:colOff>19050</xdr:colOff>
                    <xdr:row>7</xdr:row>
                    <xdr:rowOff>180975</xdr:rowOff>
                  </from>
                  <to>
                    <xdr:col>1</xdr:col>
                    <xdr:colOff>66675</xdr:colOff>
                    <xdr:row>9</xdr:row>
                    <xdr:rowOff>9525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7</xdr:col>
                    <xdr:colOff>123825</xdr:colOff>
                    <xdr:row>7</xdr:row>
                    <xdr:rowOff>152400</xdr:rowOff>
                  </from>
                  <to>
                    <xdr:col>8</xdr:col>
                    <xdr:colOff>66675</xdr:colOff>
                    <xdr:row>9</xdr:row>
                    <xdr:rowOff>47625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95250</xdr:colOff>
                    <xdr:row>8</xdr:row>
                    <xdr:rowOff>0</xdr:rowOff>
                  </from>
                  <to>
                    <xdr:col>12</xdr:col>
                    <xdr:colOff>371475</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柱の圧縮基準強度!$I$1:$M$1</xm:f>
          </x14:formula1>
          <xm:sqref>D66:D68 D82:D83 D79:D80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Q109"/>
  <sheetViews>
    <sheetView view="pageBreakPreview" topLeftCell="A16" zoomScale="92" zoomScaleNormal="92" zoomScaleSheetLayoutView="92" workbookViewId="0">
      <selection activeCell="L45" sqref="L45:V46"/>
    </sheetView>
  </sheetViews>
  <sheetFormatPr defaultRowHeight="18.75"/>
  <cols>
    <col min="1" max="1" width="3.625" customWidth="1"/>
    <col min="2" max="2" width="6.125" style="7" customWidth="1"/>
    <col min="3" max="3" width="4.25" customWidth="1"/>
    <col min="4" max="7" width="5.125" customWidth="1"/>
    <col min="8" max="9" width="5.125" style="4" customWidth="1"/>
    <col min="10" max="13" width="5.125" customWidth="1"/>
    <col min="14" max="14" width="2.875" customWidth="1"/>
    <col min="15" max="15" width="5.125" customWidth="1"/>
    <col min="16" max="16" width="3.875" customWidth="1"/>
    <col min="17" max="17" width="5.125" customWidth="1"/>
    <col min="18" max="18" width="3.875" customWidth="1"/>
    <col min="19" max="22" width="5.125" style="5" customWidth="1"/>
    <col min="23" max="32" width="10.25" style="7" hidden="1" customWidth="1"/>
    <col min="33" max="33" width="10.25" hidden="1" customWidth="1"/>
    <col min="34" max="34" width="10.25" customWidth="1"/>
    <col min="35" max="38" width="11.25" customWidth="1"/>
  </cols>
  <sheetData>
    <row r="1" spans="1:35" ht="17.100000000000001" customHeight="1">
      <c r="A1" s="395" t="s">
        <v>613</v>
      </c>
      <c r="B1" s="395"/>
      <c r="C1" s="395"/>
      <c r="D1" s="395"/>
      <c r="E1" s="395"/>
      <c r="F1" s="395"/>
      <c r="G1" s="395"/>
      <c r="H1" s="395"/>
      <c r="I1" s="395"/>
      <c r="J1" s="395"/>
      <c r="K1" s="395"/>
      <c r="L1" s="395"/>
      <c r="M1" s="395"/>
      <c r="N1" s="395"/>
      <c r="O1" s="395"/>
      <c r="P1" s="395"/>
      <c r="Q1" s="395"/>
      <c r="R1" s="395"/>
      <c r="S1" s="395"/>
      <c r="T1" s="395"/>
      <c r="U1" s="395"/>
      <c r="V1" s="395"/>
      <c r="W1" s="126"/>
      <c r="X1" s="288"/>
      <c r="Y1" s="136"/>
      <c r="Z1" s="396" t="s">
        <v>548</v>
      </c>
      <c r="AA1" s="397"/>
      <c r="AB1" s="125"/>
      <c r="AC1" s="126"/>
      <c r="AD1" s="126"/>
      <c r="AE1" s="126"/>
      <c r="AF1" s="126"/>
      <c r="AG1" s="124"/>
    </row>
    <row r="2" spans="1:35" ht="17.100000000000001" customHeight="1">
      <c r="A2" s="395"/>
      <c r="B2" s="395"/>
      <c r="C2" s="395"/>
      <c r="D2" s="395"/>
      <c r="E2" s="395"/>
      <c r="F2" s="395"/>
      <c r="G2" s="395"/>
      <c r="H2" s="395"/>
      <c r="I2" s="395"/>
      <c r="J2" s="395"/>
      <c r="K2" s="395"/>
      <c r="L2" s="395"/>
      <c r="M2" s="395"/>
      <c r="N2" s="395"/>
      <c r="O2" s="395"/>
      <c r="P2" s="395"/>
      <c r="Q2" s="395"/>
      <c r="R2" s="395"/>
      <c r="S2" s="395"/>
      <c r="T2" s="395"/>
      <c r="U2" s="395"/>
      <c r="V2" s="395"/>
      <c r="W2" s="126"/>
      <c r="X2" s="398" t="s">
        <v>458</v>
      </c>
      <c r="Y2" s="399"/>
      <c r="Z2" s="400">
        <f>(16.5+H25*2)*(6+H25*2)*SQRT(H26^2+10^2)/(16.5*6)/10</f>
        <v>1</v>
      </c>
      <c r="AA2" s="401"/>
      <c r="AB2" s="125">
        <f>SQRT(H26^2+10^2)/10</f>
        <v>1</v>
      </c>
      <c r="AC2" s="126"/>
      <c r="AD2" s="126"/>
      <c r="AE2" s="126"/>
      <c r="AF2" s="126"/>
      <c r="AG2" s="124"/>
    </row>
    <row r="3" spans="1:35" ht="17.100000000000001" customHeight="1" thickBot="1">
      <c r="A3" s="41"/>
      <c r="S3"/>
      <c r="T3"/>
      <c r="U3"/>
      <c r="V3" s="378" t="s">
        <v>650</v>
      </c>
      <c r="W3" s="126"/>
      <c r="X3" s="289" t="s">
        <v>6</v>
      </c>
      <c r="Y3" s="137" t="s">
        <v>146</v>
      </c>
      <c r="Z3" s="402">
        <v>0</v>
      </c>
      <c r="AA3" s="403"/>
      <c r="AB3" s="128"/>
      <c r="AC3" s="404" t="s">
        <v>36</v>
      </c>
      <c r="AD3" s="404"/>
      <c r="AE3" s="132" t="s">
        <v>40</v>
      </c>
      <c r="AF3" s="126"/>
      <c r="AG3" s="126" t="s">
        <v>531</v>
      </c>
      <c r="AH3" s="5"/>
      <c r="AI3" s="5"/>
    </row>
    <row r="4" spans="1:35" ht="17.100000000000001" customHeight="1" thickBot="1">
      <c r="A4" s="405" t="s">
        <v>31</v>
      </c>
      <c r="B4" s="406"/>
      <c r="C4" s="406"/>
      <c r="D4" s="407"/>
      <c r="E4" s="408"/>
      <c r="F4" s="408"/>
      <c r="G4" s="408"/>
      <c r="H4" s="409"/>
      <c r="I4" s="405" t="s">
        <v>29</v>
      </c>
      <c r="J4" s="406"/>
      <c r="K4" s="410"/>
      <c r="L4" s="410"/>
      <c r="M4" s="410"/>
      <c r="N4" s="410"/>
      <c r="O4" s="410"/>
      <c r="P4" s="410"/>
      <c r="Q4" s="410"/>
      <c r="R4" s="410"/>
      <c r="S4" s="410"/>
      <c r="T4" s="410"/>
      <c r="U4" s="410"/>
      <c r="V4" s="411"/>
      <c r="W4" s="126"/>
      <c r="X4" s="205"/>
      <c r="Y4" s="372" t="s">
        <v>617</v>
      </c>
      <c r="Z4" s="412">
        <f>200*Z2</f>
        <v>200</v>
      </c>
      <c r="AA4" s="413"/>
      <c r="AB4" s="128"/>
      <c r="AC4" s="357" t="s">
        <v>3</v>
      </c>
      <c r="AD4" s="357" t="s">
        <v>0</v>
      </c>
      <c r="AE4" s="290">
        <v>0.2</v>
      </c>
      <c r="AF4" s="126"/>
      <c r="AG4" s="126" t="s">
        <v>532</v>
      </c>
      <c r="AH4" s="5"/>
    </row>
    <row r="5" spans="1:35" ht="17.100000000000001" customHeight="1" thickBot="1">
      <c r="A5" s="414" t="s">
        <v>590</v>
      </c>
      <c r="B5" s="415"/>
      <c r="C5" s="415"/>
      <c r="D5" s="416"/>
      <c r="E5" s="417"/>
      <c r="F5" s="417"/>
      <c r="G5" s="418"/>
      <c r="H5" s="419" t="s">
        <v>591</v>
      </c>
      <c r="I5" s="420"/>
      <c r="J5" s="421"/>
      <c r="K5" s="421"/>
      <c r="L5" s="369" t="str">
        <f>IF(D5="一級建築士","大臣",IF(D5="","","知事"))</f>
        <v/>
      </c>
      <c r="M5" s="422" t="s">
        <v>592</v>
      </c>
      <c r="N5" s="422"/>
      <c r="O5" s="421"/>
      <c r="P5" s="421"/>
      <c r="Q5" s="426"/>
      <c r="R5" s="427" t="s">
        <v>593</v>
      </c>
      <c r="S5" s="428"/>
      <c r="T5" s="429"/>
      <c r="U5" s="430"/>
      <c r="V5" s="431"/>
      <c r="W5" s="126"/>
      <c r="X5" s="291"/>
      <c r="Y5" s="129" t="s">
        <v>147</v>
      </c>
      <c r="Z5" s="432" t="e">
        <f>R31/MAX(H23,H24)*9.8</f>
        <v>#DIV/0!</v>
      </c>
      <c r="AA5" s="433"/>
      <c r="AB5" s="126"/>
      <c r="AC5" s="359"/>
      <c r="AD5" s="359"/>
      <c r="AE5" s="290">
        <v>0.3</v>
      </c>
      <c r="AF5" s="126"/>
      <c r="AG5" s="126" t="s">
        <v>533</v>
      </c>
    </row>
    <row r="6" spans="1:35" ht="17.100000000000001" customHeight="1" thickBot="1">
      <c r="A6" s="414" t="s">
        <v>594</v>
      </c>
      <c r="B6" s="415"/>
      <c r="C6" s="415"/>
      <c r="D6" s="416"/>
      <c r="E6" s="417"/>
      <c r="F6" s="417"/>
      <c r="G6" s="370" t="s">
        <v>465</v>
      </c>
      <c r="H6" s="419" t="s">
        <v>591</v>
      </c>
      <c r="I6" s="420"/>
      <c r="J6" s="421"/>
      <c r="K6" s="421"/>
      <c r="L6" s="369" t="s">
        <v>595</v>
      </c>
      <c r="M6" s="422" t="s">
        <v>592</v>
      </c>
      <c r="N6" s="422"/>
      <c r="O6" s="421"/>
      <c r="P6" s="421"/>
      <c r="Q6" s="434"/>
      <c r="R6" s="367"/>
      <c r="S6" s="367"/>
      <c r="T6" s="367"/>
      <c r="U6" s="367"/>
      <c r="V6" s="367"/>
      <c r="W6" s="243"/>
      <c r="X6" s="292" t="s">
        <v>15</v>
      </c>
      <c r="Y6" s="130" t="s">
        <v>9</v>
      </c>
      <c r="Z6" s="446">
        <f>990*Z2</f>
        <v>990</v>
      </c>
      <c r="AA6" s="447"/>
      <c r="AB6" s="126"/>
      <c r="AC6" s="357" t="s">
        <v>4</v>
      </c>
      <c r="AD6" s="360" t="s">
        <v>1</v>
      </c>
      <c r="AE6" s="293" t="str">
        <f>IF($C$18="ー","ー","1.0")</f>
        <v>ー</v>
      </c>
      <c r="AF6" s="363">
        <f>IF($C$18="ー",1,$H$18)</f>
        <v>1</v>
      </c>
      <c r="AG6" s="139"/>
    </row>
    <row r="7" spans="1:35" ht="17.100000000000001" customHeight="1">
      <c r="A7" s="52"/>
      <c r="B7" s="52"/>
      <c r="C7" s="52"/>
      <c r="D7" s="285"/>
      <c r="E7" s="285"/>
      <c r="F7" s="285"/>
      <c r="G7" s="52"/>
      <c r="H7" s="52"/>
      <c r="I7" s="336"/>
      <c r="J7" s="336"/>
      <c r="K7" s="7"/>
      <c r="L7" s="336"/>
      <c r="M7" s="336"/>
      <c r="N7" s="336"/>
      <c r="O7" s="336"/>
      <c r="P7" s="336"/>
      <c r="Q7" s="204"/>
      <c r="R7" s="204"/>
      <c r="S7" s="204"/>
      <c r="T7" s="204"/>
      <c r="U7" s="204"/>
      <c r="V7" s="204"/>
      <c r="W7" s="294"/>
      <c r="X7" s="295"/>
      <c r="Y7" s="127" t="s">
        <v>10</v>
      </c>
      <c r="Z7" s="448">
        <f>740*Z2</f>
        <v>740</v>
      </c>
      <c r="AA7" s="449"/>
      <c r="AB7" s="126"/>
      <c r="AC7" s="358"/>
      <c r="AD7" s="361"/>
      <c r="AE7" s="293" t="str">
        <f>IF($C$18="ー","","0.9")</f>
        <v/>
      </c>
      <c r="AF7" s="364"/>
      <c r="AG7" s="139"/>
    </row>
    <row r="8" spans="1:35" s="8" customFormat="1" ht="17.100000000000001" customHeight="1">
      <c r="A8" s="234" t="s">
        <v>479</v>
      </c>
      <c r="B8" s="43"/>
      <c r="C8" s="4"/>
      <c r="D8" s="4"/>
      <c r="E8" s="4"/>
      <c r="F8" s="4"/>
      <c r="G8" s="4"/>
      <c r="H8"/>
      <c r="I8"/>
      <c r="J8" s="4"/>
      <c r="K8" s="4"/>
      <c r="L8" s="4"/>
      <c r="M8" s="4"/>
      <c r="N8" s="4"/>
      <c r="O8" s="4"/>
      <c r="P8" s="4"/>
      <c r="Q8" s="4"/>
      <c r="R8" s="4"/>
      <c r="S8" s="4"/>
      <c r="T8" s="4"/>
      <c r="U8" s="4"/>
      <c r="V8" s="4"/>
      <c r="W8" s="199" t="b">
        <v>0</v>
      </c>
      <c r="X8" s="296"/>
      <c r="Y8" s="129" t="s">
        <v>11</v>
      </c>
      <c r="Z8" s="450">
        <f>500*Z2</f>
        <v>500</v>
      </c>
      <c r="AA8" s="451"/>
      <c r="AB8" s="126"/>
      <c r="AC8" s="358"/>
      <c r="AD8" s="361"/>
      <c r="AE8" s="293" t="str">
        <f>IF($C$18="ー","","0.8")</f>
        <v/>
      </c>
      <c r="AF8" s="364"/>
      <c r="AG8" s="139"/>
      <c r="AH8"/>
      <c r="AI8"/>
    </row>
    <row r="9" spans="1:35" ht="17.100000000000001" customHeight="1">
      <c r="A9" s="235"/>
      <c r="B9" s="67" t="s">
        <v>477</v>
      </c>
      <c r="C9" s="4"/>
      <c r="D9" s="4"/>
      <c r="E9" s="4"/>
      <c r="F9" s="4"/>
      <c r="G9" s="4"/>
      <c r="H9" s="67"/>
      <c r="I9" s="67" t="s">
        <v>476</v>
      </c>
      <c r="J9" s="4"/>
      <c r="K9" s="4"/>
      <c r="L9" s="4"/>
      <c r="M9" s="236"/>
      <c r="N9" s="236" t="s">
        <v>478</v>
      </c>
      <c r="O9" s="4"/>
      <c r="P9" s="4"/>
      <c r="Q9" s="4"/>
      <c r="R9" s="4"/>
      <c r="S9" s="4"/>
      <c r="T9" s="4"/>
      <c r="U9" s="4"/>
      <c r="V9" s="4"/>
      <c r="W9" s="199" t="b">
        <v>0</v>
      </c>
      <c r="X9" s="205" t="s">
        <v>459</v>
      </c>
      <c r="Y9" s="127" t="s">
        <v>301</v>
      </c>
      <c r="Z9" s="452">
        <f>IF(H20="あり(多雪区域)",IF(H21*H22*0.35*Z2/AB2&gt;0,H21*H22*0.35*Z2/AB2,"記入無し"),0)</f>
        <v>0</v>
      </c>
      <c r="AA9" s="453"/>
      <c r="AB9" s="126"/>
      <c r="AC9" s="359"/>
      <c r="AD9" s="362"/>
      <c r="AE9" s="293" t="str">
        <f>IF($C$18="ー","","0.7")</f>
        <v/>
      </c>
      <c r="AF9" s="365"/>
      <c r="AG9" s="139"/>
      <c r="AH9" s="8"/>
      <c r="AI9" s="8"/>
    </row>
    <row r="10" spans="1:35" ht="17.100000000000001" customHeight="1">
      <c r="A10" s="423" t="str">
        <f>IF(W11&gt;1,"※チェックボックスはいずれかひとつを選択してください。","")</f>
        <v/>
      </c>
      <c r="B10" s="423"/>
      <c r="C10" s="423"/>
      <c r="D10" s="423"/>
      <c r="E10" s="423"/>
      <c r="F10" s="423"/>
      <c r="G10" s="423"/>
      <c r="H10" s="423"/>
      <c r="I10" s="423"/>
      <c r="J10" s="423"/>
      <c r="K10" s="423"/>
      <c r="L10" s="423"/>
      <c r="M10" s="423"/>
      <c r="N10" s="423"/>
      <c r="O10" s="423"/>
      <c r="P10" s="423"/>
      <c r="Q10" s="423"/>
      <c r="R10" s="423"/>
      <c r="S10" s="423"/>
      <c r="T10" s="423"/>
      <c r="U10" s="40"/>
      <c r="V10" s="4"/>
      <c r="W10" s="199" t="b">
        <v>0</v>
      </c>
      <c r="X10" s="206"/>
      <c r="Y10" s="207"/>
      <c r="Z10" s="424"/>
      <c r="AA10" s="425"/>
      <c r="AB10" s="126"/>
      <c r="AC10" s="159" t="s">
        <v>5</v>
      </c>
      <c r="AD10" s="159" t="s">
        <v>2</v>
      </c>
      <c r="AE10" s="297">
        <v>1</v>
      </c>
      <c r="AF10" s="126"/>
      <c r="AG10" s="124"/>
    </row>
    <row r="11" spans="1:35" ht="18" customHeight="1">
      <c r="A11" s="44" t="s">
        <v>610</v>
      </c>
      <c r="K11" s="4"/>
      <c r="L11" s="4"/>
      <c r="M11" s="4"/>
      <c r="N11" s="4"/>
      <c r="O11" s="4"/>
      <c r="P11" s="4"/>
      <c r="Q11" s="4"/>
      <c r="R11" s="4"/>
      <c r="S11" s="4"/>
      <c r="T11" s="4"/>
      <c r="U11" s="4"/>
      <c r="V11" s="4"/>
      <c r="W11" s="126">
        <f>COUNTIF(W8:W10,TRUE)</f>
        <v>0</v>
      </c>
      <c r="X11" s="435" t="s">
        <v>462</v>
      </c>
      <c r="Y11" s="131" t="s">
        <v>463</v>
      </c>
      <c r="Z11" s="402">
        <v>100</v>
      </c>
      <c r="AA11" s="403"/>
      <c r="AB11" s="126"/>
      <c r="AC11" s="437" t="s">
        <v>480</v>
      </c>
      <c r="AD11" s="438"/>
      <c r="AE11" s="297" t="str">
        <f>IF($C$20="ー","ー","なし(一般区域)")</f>
        <v>ー</v>
      </c>
      <c r="AF11" s="126"/>
      <c r="AG11" s="124"/>
    </row>
    <row r="12" spans="1:35" ht="17.100000000000001" customHeight="1" thickBot="1">
      <c r="A12" s="45" t="s">
        <v>636</v>
      </c>
      <c r="B12" s="46"/>
      <c r="C12" s="8"/>
      <c r="D12" s="8"/>
      <c r="E12" s="8"/>
      <c r="F12" s="8"/>
      <c r="G12" s="8"/>
      <c r="H12" s="47"/>
      <c r="I12" s="47"/>
      <c r="J12" s="8"/>
      <c r="K12" s="47"/>
      <c r="L12" s="47"/>
      <c r="M12" s="47"/>
      <c r="N12" s="47"/>
      <c r="O12" s="47"/>
      <c r="P12" s="47"/>
      <c r="Q12" s="47"/>
      <c r="R12" s="47"/>
      <c r="S12" s="237"/>
      <c r="T12" s="237"/>
      <c r="U12" s="237"/>
      <c r="V12" s="237"/>
      <c r="W12" s="126"/>
      <c r="X12" s="436"/>
      <c r="Y12" s="133" t="s">
        <v>145</v>
      </c>
      <c r="Z12" s="441" t="e">
        <f>(ROUNDUP(O35*R35*U35/1000*9.8,-1)+ROUNDUP(O36*R36*U36/1000*9.8,-1))/MAX(H23,H24)</f>
        <v>#DIV/0!</v>
      </c>
      <c r="AA12" s="442"/>
      <c r="AB12" s="126"/>
      <c r="AC12" s="439"/>
      <c r="AD12" s="440"/>
      <c r="AE12" s="297" t="str">
        <f>IF($C$20="ー","ー","あり(多雪区域)")</f>
        <v>ー</v>
      </c>
      <c r="AF12" s="126"/>
      <c r="AG12" s="124"/>
    </row>
    <row r="13" spans="1:35" ht="17.100000000000001" customHeight="1" thickBot="1">
      <c r="S13" s="7"/>
      <c r="T13" s="7"/>
      <c r="U13" s="7"/>
      <c r="V13" s="7"/>
      <c r="W13" s="126"/>
      <c r="X13" s="298" t="s">
        <v>20</v>
      </c>
      <c r="Y13" s="134"/>
      <c r="Z13" s="443">
        <v>610</v>
      </c>
      <c r="AA13" s="444"/>
      <c r="AB13" s="299"/>
      <c r="AC13" s="445" t="s">
        <v>164</v>
      </c>
      <c r="AD13" s="445"/>
      <c r="AE13" s="132" t="str">
        <f>IF(H23&gt;0,H23/H24,"")</f>
        <v/>
      </c>
      <c r="AF13" s="126"/>
      <c r="AG13" s="124"/>
    </row>
    <row r="14" spans="1:35" ht="17.100000000000001" customHeight="1" thickBot="1">
      <c r="B14" s="640" t="s">
        <v>371</v>
      </c>
      <c r="C14" s="476" t="s">
        <v>36</v>
      </c>
      <c r="D14" s="477"/>
      <c r="E14" s="477"/>
      <c r="F14" s="477"/>
      <c r="G14" s="478"/>
      <c r="H14" s="479" t="s">
        <v>37</v>
      </c>
      <c r="I14" s="480"/>
      <c r="J14" s="480"/>
      <c r="K14" s="405" t="s">
        <v>151</v>
      </c>
      <c r="L14" s="406"/>
      <c r="M14" s="406"/>
      <c r="N14" s="406"/>
      <c r="O14" s="406"/>
      <c r="P14" s="406"/>
      <c r="Q14" s="406"/>
      <c r="R14" s="406"/>
      <c r="S14" s="406"/>
      <c r="T14" s="406"/>
      <c r="U14" s="406"/>
      <c r="V14" s="481"/>
      <c r="W14" s="126"/>
      <c r="X14" s="469" t="s">
        <v>481</v>
      </c>
      <c r="Y14" s="210" t="s">
        <v>464</v>
      </c>
      <c r="Z14" s="208">
        <v>600</v>
      </c>
      <c r="AA14" s="471">
        <f>IF($W$9=TRUE,Z15,Z14)</f>
        <v>600</v>
      </c>
      <c r="AB14" s="454" t="s">
        <v>152</v>
      </c>
      <c r="AC14" s="454"/>
      <c r="AD14" s="299"/>
      <c r="AE14" s="299"/>
      <c r="AF14" s="299"/>
      <c r="AG14" s="124"/>
    </row>
    <row r="15" spans="1:35" ht="17.100000000000001" customHeight="1">
      <c r="B15" s="641"/>
      <c r="C15" s="455" t="s">
        <v>611</v>
      </c>
      <c r="D15" s="456"/>
      <c r="E15" s="456"/>
      <c r="F15" s="456"/>
      <c r="G15" s="456"/>
      <c r="H15" s="457"/>
      <c r="I15" s="458"/>
      <c r="J15" s="458"/>
      <c r="K15" s="459" t="s">
        <v>385</v>
      </c>
      <c r="L15" s="460"/>
      <c r="M15" s="460"/>
      <c r="N15" s="460"/>
      <c r="O15" s="460"/>
      <c r="P15" s="460"/>
      <c r="Q15" s="460"/>
      <c r="R15" s="460"/>
      <c r="S15" s="460"/>
      <c r="T15" s="460"/>
      <c r="U15" s="460"/>
      <c r="V15" s="461"/>
      <c r="W15" s="126"/>
      <c r="X15" s="482"/>
      <c r="Y15" s="210" t="s">
        <v>465</v>
      </c>
      <c r="Z15" s="209">
        <v>800</v>
      </c>
      <c r="AA15" s="483"/>
      <c r="AB15" s="128"/>
      <c r="AC15" s="128"/>
      <c r="AD15" s="300"/>
      <c r="AE15" s="300"/>
      <c r="AF15" s="126"/>
      <c r="AG15" s="124"/>
    </row>
    <row r="16" spans="1:35" ht="17.100000000000001" customHeight="1" thickBot="1">
      <c r="B16" s="641"/>
      <c r="C16" s="462" t="s">
        <v>612</v>
      </c>
      <c r="D16" s="463"/>
      <c r="E16" s="463"/>
      <c r="F16" s="463"/>
      <c r="G16" s="463"/>
      <c r="H16" s="464"/>
      <c r="I16" s="465"/>
      <c r="J16" s="465"/>
      <c r="K16" s="466" t="s">
        <v>386</v>
      </c>
      <c r="L16" s="467"/>
      <c r="M16" s="467"/>
      <c r="N16" s="467"/>
      <c r="O16" s="467"/>
      <c r="P16" s="467"/>
      <c r="Q16" s="467"/>
      <c r="R16" s="467"/>
      <c r="S16" s="467"/>
      <c r="T16" s="467"/>
      <c r="U16" s="467"/>
      <c r="V16" s="468"/>
      <c r="W16" s="126"/>
      <c r="X16" s="469" t="s">
        <v>482</v>
      </c>
      <c r="Y16" s="210" t="s">
        <v>464</v>
      </c>
      <c r="Z16" s="209">
        <v>1300</v>
      </c>
      <c r="AA16" s="471">
        <f>IF($W$9=TRUE,Z17,Z16)</f>
        <v>1300</v>
      </c>
      <c r="AB16" s="128"/>
      <c r="AC16" s="128"/>
      <c r="AD16" s="135"/>
      <c r="AE16" s="135"/>
      <c r="AF16" s="126"/>
      <c r="AG16" s="124"/>
    </row>
    <row r="17" spans="2:34" ht="17.100000000000001" customHeight="1" thickBot="1">
      <c r="B17" s="641"/>
      <c r="C17" s="473" t="s">
        <v>530</v>
      </c>
      <c r="D17" s="474"/>
      <c r="E17" s="474"/>
      <c r="F17" s="474"/>
      <c r="G17" s="475"/>
      <c r="H17" s="484"/>
      <c r="I17" s="485"/>
      <c r="J17" s="485"/>
      <c r="K17" s="459" t="s">
        <v>529</v>
      </c>
      <c r="L17" s="460"/>
      <c r="M17" s="460"/>
      <c r="N17" s="460"/>
      <c r="O17" s="460"/>
      <c r="P17" s="460"/>
      <c r="Q17" s="460"/>
      <c r="R17" s="460"/>
      <c r="S17" s="460"/>
      <c r="T17" s="460"/>
      <c r="U17" s="460"/>
      <c r="V17" s="461"/>
      <c r="W17" s="126"/>
      <c r="X17" s="470"/>
      <c r="Y17" s="230" t="s">
        <v>465</v>
      </c>
      <c r="Z17" s="211">
        <v>1800</v>
      </c>
      <c r="AA17" s="472"/>
      <c r="AB17" s="128"/>
      <c r="AC17" s="128"/>
      <c r="AD17" s="486" t="s">
        <v>213</v>
      </c>
      <c r="AE17" s="487"/>
      <c r="AF17" s="126"/>
      <c r="AG17" s="124"/>
    </row>
    <row r="18" spans="2:34" ht="17.100000000000001" customHeight="1" thickBot="1">
      <c r="B18" s="641"/>
      <c r="C18" s="488" t="str">
        <f>IF($W$8=TRUE,"地震地域係数Z","ー")</f>
        <v>ー</v>
      </c>
      <c r="D18" s="489"/>
      <c r="E18" s="489"/>
      <c r="F18" s="489"/>
      <c r="G18" s="489"/>
      <c r="H18" s="490" t="s">
        <v>294</v>
      </c>
      <c r="I18" s="491"/>
      <c r="J18" s="491"/>
      <c r="K18" s="492" t="str">
        <f>IF(C18="ー",IF(H18="ー","ー","プルダウンで「－」を選択してください。"),"昭55年建告第1793号第1の表の上欄に掲げる地方の区分に応じ同表下欄に掲げる数値")</f>
        <v>ー</v>
      </c>
      <c r="L18" s="493"/>
      <c r="M18" s="493"/>
      <c r="N18" s="493"/>
      <c r="O18" s="493"/>
      <c r="P18" s="493"/>
      <c r="Q18" s="493"/>
      <c r="R18" s="493"/>
      <c r="S18" s="493"/>
      <c r="T18" s="493"/>
      <c r="U18" s="493"/>
      <c r="V18" s="494"/>
      <c r="W18" s="126"/>
      <c r="X18" s="288"/>
      <c r="Y18" s="136"/>
      <c r="Z18" s="396" t="s">
        <v>44</v>
      </c>
      <c r="AA18" s="397"/>
      <c r="AB18" s="128"/>
      <c r="AC18" s="128"/>
      <c r="AD18" s="212" t="s">
        <v>22</v>
      </c>
      <c r="AE18" s="213" t="s">
        <v>23</v>
      </c>
      <c r="AF18" s="126"/>
      <c r="AG18" s="124"/>
    </row>
    <row r="19" spans="2:34" ht="17.100000000000001" customHeight="1">
      <c r="B19" s="641"/>
      <c r="C19" s="488" t="s">
        <v>275</v>
      </c>
      <c r="D19" s="489"/>
      <c r="E19" s="489"/>
      <c r="F19" s="489"/>
      <c r="G19" s="489"/>
      <c r="H19" s="490">
        <v>0.2</v>
      </c>
      <c r="I19" s="495"/>
      <c r="J19" s="495"/>
      <c r="K19" s="496" t="s">
        <v>39</v>
      </c>
      <c r="L19" s="497"/>
      <c r="M19" s="497"/>
      <c r="N19" s="497"/>
      <c r="O19" s="497"/>
      <c r="P19" s="497"/>
      <c r="Q19" s="497"/>
      <c r="R19" s="497"/>
      <c r="S19" s="497"/>
      <c r="T19" s="497"/>
      <c r="U19" s="497"/>
      <c r="V19" s="498"/>
      <c r="W19" s="126"/>
      <c r="X19" s="499" t="s">
        <v>8</v>
      </c>
      <c r="Y19" s="137" t="s">
        <v>24</v>
      </c>
      <c r="Z19" s="402">
        <v>1000</v>
      </c>
      <c r="AA19" s="403"/>
      <c r="AB19" s="128"/>
      <c r="AC19" s="128"/>
      <c r="AD19" s="214">
        <f t="shared" ref="AD19:AD25" si="0">ROUNDUP(Z19*((6*$H$16*2+16.5*$H$16*2)*(1-0.09)/(6*16.5)),-1)</f>
        <v>0</v>
      </c>
      <c r="AE19" s="145">
        <f t="shared" ref="AE19:AE25" si="1">ROUNDUP(Z19*((6*$H$15*2+16.5*$H$15*2)*(1-0.09)/(6*16.5)),-1)</f>
        <v>0</v>
      </c>
      <c r="AF19" s="126"/>
      <c r="AG19" s="124"/>
    </row>
    <row r="20" spans="2:34" ht="17.100000000000001" customHeight="1">
      <c r="B20" s="641"/>
      <c r="C20" s="488" t="str">
        <f>IF($W$8=TRUE,"多雪区域の指定","ー")</f>
        <v>ー</v>
      </c>
      <c r="D20" s="489"/>
      <c r="E20" s="489"/>
      <c r="F20" s="489"/>
      <c r="G20" s="502"/>
      <c r="H20" s="490" t="s">
        <v>294</v>
      </c>
      <c r="I20" s="495"/>
      <c r="J20" s="495"/>
      <c r="K20" s="515" t="str">
        <f>IF(C20="ー",IF(H20="ー","ー","プルダウンで「－」を選択してください。"),IF(H20="ー","プルダウン選択してください。","プルダウン選択"))</f>
        <v>ー</v>
      </c>
      <c r="L20" s="516"/>
      <c r="M20" s="516"/>
      <c r="N20" s="516"/>
      <c r="O20" s="516"/>
      <c r="P20" s="516"/>
      <c r="Q20" s="516"/>
      <c r="R20" s="516"/>
      <c r="S20" s="516"/>
      <c r="T20" s="516"/>
      <c r="U20" s="516"/>
      <c r="V20" s="517"/>
      <c r="W20" s="126"/>
      <c r="X20" s="500"/>
      <c r="Y20" s="127" t="s">
        <v>25</v>
      </c>
      <c r="Z20" s="511">
        <v>890</v>
      </c>
      <c r="AA20" s="512"/>
      <c r="AB20" s="126"/>
      <c r="AC20" s="126"/>
      <c r="AD20" s="215">
        <f t="shared" si="0"/>
        <v>0</v>
      </c>
      <c r="AE20" s="150">
        <f t="shared" si="1"/>
        <v>0</v>
      </c>
      <c r="AF20" s="126"/>
      <c r="AG20" s="124"/>
    </row>
    <row r="21" spans="2:34" ht="17.100000000000001" customHeight="1">
      <c r="B21" s="641"/>
      <c r="C21" s="488" t="str">
        <f>IF($H$20="あり(多雪区域)","垂直積雪量（cｍ）","ー")</f>
        <v>ー</v>
      </c>
      <c r="D21" s="489"/>
      <c r="E21" s="489"/>
      <c r="F21" s="489"/>
      <c r="G21" s="502"/>
      <c r="H21" s="506"/>
      <c r="I21" s="507"/>
      <c r="J21" s="507"/>
      <c r="K21" s="515" t="str">
        <f>IF(C21="垂直積雪量（cｍ）","解説・注意事項の表1-3を必ず参照する。入力時は単位に注意する。",IF(H21&gt;0,"左記の数値を削除してください。","ー"))</f>
        <v>ー</v>
      </c>
      <c r="L21" s="516"/>
      <c r="M21" s="516"/>
      <c r="N21" s="516"/>
      <c r="O21" s="516"/>
      <c r="P21" s="516"/>
      <c r="Q21" s="516"/>
      <c r="R21" s="516"/>
      <c r="S21" s="516"/>
      <c r="T21" s="516"/>
      <c r="U21" s="516"/>
      <c r="V21" s="517"/>
      <c r="W21" s="126"/>
      <c r="X21" s="500"/>
      <c r="Y21" s="127" t="s">
        <v>12</v>
      </c>
      <c r="Z21" s="511">
        <v>600</v>
      </c>
      <c r="AA21" s="512"/>
      <c r="AB21" s="126"/>
      <c r="AC21" s="126"/>
      <c r="AD21" s="215">
        <f t="shared" si="0"/>
        <v>0</v>
      </c>
      <c r="AE21" s="150">
        <f t="shared" si="1"/>
        <v>0</v>
      </c>
      <c r="AF21" s="126"/>
      <c r="AG21" s="124"/>
    </row>
    <row r="22" spans="2:34" ht="17.100000000000001" customHeight="1">
      <c r="B22" s="641"/>
      <c r="C22" s="503" t="str">
        <f>IF($H$20="あり(多雪区域)","積雪単位荷重（N/m2/㎝）","ー")</f>
        <v>ー</v>
      </c>
      <c r="D22" s="504"/>
      <c r="E22" s="504"/>
      <c r="F22" s="504"/>
      <c r="G22" s="505"/>
      <c r="H22" s="506"/>
      <c r="I22" s="507"/>
      <c r="J22" s="507"/>
      <c r="K22" s="508" t="str">
        <f>IF(C22="積雪単位荷重（N/m2/㎝）","",IF(H22&gt;0,"左記の数値を削除してください。","ー"))</f>
        <v>ー</v>
      </c>
      <c r="L22" s="509"/>
      <c r="M22" s="509"/>
      <c r="N22" s="509"/>
      <c r="O22" s="509"/>
      <c r="P22" s="509"/>
      <c r="Q22" s="509"/>
      <c r="R22" s="509"/>
      <c r="S22" s="509"/>
      <c r="T22" s="509"/>
      <c r="U22" s="509"/>
      <c r="V22" s="510"/>
      <c r="W22" s="126"/>
      <c r="X22" s="500"/>
      <c r="Y22" s="127" t="s">
        <v>13</v>
      </c>
      <c r="Z22" s="511">
        <v>500</v>
      </c>
      <c r="AA22" s="512"/>
      <c r="AB22" s="126"/>
      <c r="AC22" s="126"/>
      <c r="AD22" s="215">
        <f t="shared" si="0"/>
        <v>0</v>
      </c>
      <c r="AE22" s="150">
        <f t="shared" si="1"/>
        <v>0</v>
      </c>
      <c r="AF22" s="126"/>
      <c r="AG22" s="124"/>
    </row>
    <row r="23" spans="2:34" ht="17.100000000000001" customHeight="1">
      <c r="B23" s="641"/>
      <c r="C23" s="462" t="s">
        <v>550</v>
      </c>
      <c r="D23" s="463"/>
      <c r="E23" s="463"/>
      <c r="F23" s="463"/>
      <c r="G23" s="463"/>
      <c r="H23" s="513"/>
      <c r="I23" s="514"/>
      <c r="J23" s="514"/>
      <c r="K23" s="922" t="s">
        <v>625</v>
      </c>
      <c r="L23" s="923"/>
      <c r="M23" s="923"/>
      <c r="N23" s="923"/>
      <c r="O23" s="923"/>
      <c r="P23" s="923"/>
      <c r="Q23" s="923"/>
      <c r="R23" s="923"/>
      <c r="S23" s="923"/>
      <c r="T23" s="923"/>
      <c r="U23" s="923"/>
      <c r="V23" s="924"/>
      <c r="W23" s="389" t="s">
        <v>638</v>
      </c>
      <c r="X23" s="501"/>
      <c r="Y23" s="129" t="s">
        <v>292</v>
      </c>
      <c r="Z23" s="432">
        <v>350</v>
      </c>
      <c r="AA23" s="433"/>
      <c r="AB23" s="126"/>
      <c r="AC23" s="126"/>
      <c r="AD23" s="215">
        <f t="shared" si="0"/>
        <v>0</v>
      </c>
      <c r="AE23" s="150">
        <f t="shared" si="1"/>
        <v>0</v>
      </c>
      <c r="AF23" s="126"/>
      <c r="AG23" s="124"/>
    </row>
    <row r="24" spans="2:34" ht="17.100000000000001" customHeight="1">
      <c r="B24" s="641"/>
      <c r="C24" s="462" t="s">
        <v>551</v>
      </c>
      <c r="D24" s="463"/>
      <c r="E24" s="463"/>
      <c r="F24" s="463"/>
      <c r="G24" s="463"/>
      <c r="H24" s="513"/>
      <c r="I24" s="514"/>
      <c r="J24" s="514"/>
      <c r="K24" s="922" t="s">
        <v>625</v>
      </c>
      <c r="L24" s="923"/>
      <c r="M24" s="923"/>
      <c r="N24" s="923"/>
      <c r="O24" s="923"/>
      <c r="P24" s="923"/>
      <c r="Q24" s="923"/>
      <c r="R24" s="923"/>
      <c r="S24" s="923"/>
      <c r="T24" s="923"/>
      <c r="U24" s="923"/>
      <c r="V24" s="924"/>
      <c r="W24" s="126"/>
      <c r="X24" s="518" t="s">
        <v>17</v>
      </c>
      <c r="Y24" s="137" t="s">
        <v>150</v>
      </c>
      <c r="Z24" s="402">
        <v>70</v>
      </c>
      <c r="AA24" s="403"/>
      <c r="AB24" s="126"/>
      <c r="AC24" s="126"/>
      <c r="AD24" s="215">
        <f t="shared" si="0"/>
        <v>0</v>
      </c>
      <c r="AE24" s="150">
        <f t="shared" si="1"/>
        <v>0</v>
      </c>
      <c r="AF24" s="126"/>
      <c r="AG24" s="124"/>
    </row>
    <row r="25" spans="2:34" ht="17.100000000000001" customHeight="1">
      <c r="B25" s="641"/>
      <c r="C25" s="473" t="s">
        <v>455</v>
      </c>
      <c r="D25" s="474"/>
      <c r="E25" s="474"/>
      <c r="F25" s="474"/>
      <c r="G25" s="474"/>
      <c r="H25" s="484"/>
      <c r="I25" s="485"/>
      <c r="J25" s="485"/>
      <c r="K25" s="515" t="s">
        <v>457</v>
      </c>
      <c r="L25" s="516"/>
      <c r="M25" s="516"/>
      <c r="N25" s="516"/>
      <c r="O25" s="516"/>
      <c r="P25" s="516"/>
      <c r="Q25" s="516"/>
      <c r="R25" s="516"/>
      <c r="S25" s="516"/>
      <c r="T25" s="516"/>
      <c r="U25" s="516"/>
      <c r="V25" s="517"/>
      <c r="W25" s="126"/>
      <c r="X25" s="519"/>
      <c r="Y25" s="129" t="s">
        <v>145</v>
      </c>
      <c r="Z25" s="432">
        <f>ROUNDUP(R39*U39*9.8/1000+R40*U40*9.8/1000,-1)</f>
        <v>0</v>
      </c>
      <c r="AA25" s="433"/>
      <c r="AB25" s="126"/>
      <c r="AC25" s="126"/>
      <c r="AD25" s="215">
        <f t="shared" si="0"/>
        <v>0</v>
      </c>
      <c r="AE25" s="150">
        <f t="shared" si="1"/>
        <v>0</v>
      </c>
      <c r="AF25" s="126"/>
      <c r="AG25" s="124"/>
    </row>
    <row r="26" spans="2:34" ht="17.100000000000001" customHeight="1" thickBot="1">
      <c r="B26" s="641"/>
      <c r="C26" s="473" t="s">
        <v>456</v>
      </c>
      <c r="D26" s="474"/>
      <c r="E26" s="474"/>
      <c r="F26" s="474"/>
      <c r="G26" s="474"/>
      <c r="H26" s="531"/>
      <c r="I26" s="491"/>
      <c r="J26" s="491"/>
      <c r="K26" s="532" t="s">
        <v>620</v>
      </c>
      <c r="L26" s="533"/>
      <c r="M26" s="533"/>
      <c r="N26" s="533"/>
      <c r="O26" s="534">
        <f>ATAN(H26/10)*180/PI()</f>
        <v>0</v>
      </c>
      <c r="P26" s="534"/>
      <c r="Q26" s="533" t="s">
        <v>621</v>
      </c>
      <c r="R26" s="533"/>
      <c r="S26" s="533"/>
      <c r="T26" s="533"/>
      <c r="U26" s="533"/>
      <c r="V26" s="535"/>
      <c r="W26" s="126"/>
      <c r="X26" s="301" t="s">
        <v>18</v>
      </c>
      <c r="Y26" s="302" t="s">
        <v>19</v>
      </c>
      <c r="Z26" s="536">
        <v>400</v>
      </c>
      <c r="AA26" s="537"/>
      <c r="AB26" s="126"/>
      <c r="AC26" s="126"/>
      <c r="AD26" s="216">
        <f>ROUNDUP(Z26*((6*$H$16*2+16.5*$H$16*2)*0.09/(6*16.5)),-1)</f>
        <v>0</v>
      </c>
      <c r="AE26" s="161">
        <f>ROUNDUP(Z26*((6*$H$15*2+16.5*$H$15*2)*0.09/(6*16.5)),-1)</f>
        <v>0</v>
      </c>
      <c r="AF26" s="126"/>
      <c r="AG26" s="124"/>
    </row>
    <row r="27" spans="2:34" ht="17.100000000000001" customHeight="1">
      <c r="B27" s="641"/>
      <c r="C27" s="462" t="s">
        <v>34</v>
      </c>
      <c r="D27" s="463"/>
      <c r="E27" s="463"/>
      <c r="F27" s="463"/>
      <c r="G27" s="463"/>
      <c r="H27" s="520"/>
      <c r="I27" s="521"/>
      <c r="J27" s="521"/>
      <c r="K27" s="515" t="s">
        <v>214</v>
      </c>
      <c r="L27" s="516"/>
      <c r="M27" s="516"/>
      <c r="N27" s="516"/>
      <c r="O27" s="516"/>
      <c r="P27" s="516"/>
      <c r="Q27" s="516"/>
      <c r="R27" s="516"/>
      <c r="S27" s="516"/>
      <c r="T27" s="516"/>
      <c r="U27" s="516"/>
      <c r="V27" s="517"/>
      <c r="W27" s="126"/>
      <c r="X27" s="303"/>
      <c r="Y27" s="134"/>
      <c r="Z27" s="522" t="s">
        <v>549</v>
      </c>
      <c r="AA27" s="523"/>
      <c r="AB27" s="126" t="s">
        <v>152</v>
      </c>
      <c r="AC27" s="126"/>
      <c r="AD27" s="126"/>
      <c r="AE27" s="126"/>
      <c r="AF27" s="126"/>
      <c r="AG27" s="124"/>
      <c r="AH27" s="5"/>
    </row>
    <row r="28" spans="2:34" ht="17.100000000000001" customHeight="1" thickBot="1">
      <c r="B28" s="641"/>
      <c r="C28" s="462" t="s">
        <v>35</v>
      </c>
      <c r="D28" s="463"/>
      <c r="E28" s="463"/>
      <c r="F28" s="463"/>
      <c r="G28" s="463"/>
      <c r="H28" s="524"/>
      <c r="I28" s="525"/>
      <c r="J28" s="525"/>
      <c r="K28" s="526" t="s">
        <v>214</v>
      </c>
      <c r="L28" s="527"/>
      <c r="M28" s="527"/>
      <c r="N28" s="527"/>
      <c r="O28" s="527"/>
      <c r="P28" s="527"/>
      <c r="Q28" s="527"/>
      <c r="R28" s="527"/>
      <c r="S28" s="527"/>
      <c r="T28" s="527"/>
      <c r="U28" s="527"/>
      <c r="V28" s="528"/>
      <c r="W28" s="126"/>
      <c r="X28" s="304" t="s">
        <v>14</v>
      </c>
      <c r="Y28" s="133" t="s">
        <v>28</v>
      </c>
      <c r="Z28" s="529">
        <v>200</v>
      </c>
      <c r="AA28" s="530"/>
      <c r="AB28" s="126"/>
      <c r="AC28" s="126"/>
      <c r="AD28" s="126"/>
      <c r="AE28" s="126"/>
      <c r="AF28" s="126"/>
      <c r="AG28" s="124"/>
    </row>
    <row r="29" spans="2:34" ht="17.100000000000001" customHeight="1">
      <c r="B29" s="641"/>
      <c r="C29" s="575" t="s">
        <v>552</v>
      </c>
      <c r="D29" s="576"/>
      <c r="E29" s="576"/>
      <c r="F29" s="576"/>
      <c r="G29" s="576"/>
      <c r="H29" s="558"/>
      <c r="I29" s="559"/>
      <c r="J29" s="559"/>
      <c r="K29" s="581" t="s">
        <v>494</v>
      </c>
      <c r="L29" s="582"/>
      <c r="M29" s="582"/>
      <c r="N29" s="582"/>
      <c r="O29" s="582"/>
      <c r="P29" s="582"/>
      <c r="Q29" s="582"/>
      <c r="R29" s="587" t="str">
        <f>IF(H29="あり(任意入力)",IF(R31=0,"下記へ数値入力してください。",""),IF(R31=0,"下記への入力は不要です。","下記の数値を削除してください"))</f>
        <v>下記への入力は不要です。</v>
      </c>
      <c r="S29" s="587"/>
      <c r="T29" s="587"/>
      <c r="U29" s="587"/>
      <c r="V29" s="588"/>
      <c r="W29" s="126"/>
      <c r="X29" s="128"/>
      <c r="Y29" s="126"/>
      <c r="Z29" s="128"/>
      <c r="AA29" s="128"/>
      <c r="AB29" s="125"/>
      <c r="AC29" s="126"/>
      <c r="AD29" s="126"/>
      <c r="AE29" s="126"/>
      <c r="AF29" s="126"/>
      <c r="AG29" s="124"/>
    </row>
    <row r="30" spans="2:34" ht="17.100000000000001" customHeight="1">
      <c r="B30" s="641"/>
      <c r="C30" s="577"/>
      <c r="D30" s="578"/>
      <c r="E30" s="578"/>
      <c r="F30" s="578"/>
      <c r="G30" s="578"/>
      <c r="H30" s="560"/>
      <c r="I30" s="561"/>
      <c r="J30" s="561"/>
      <c r="K30" s="583"/>
      <c r="L30" s="584"/>
      <c r="M30" s="584"/>
      <c r="N30" s="584"/>
      <c r="O30" s="584"/>
      <c r="P30" s="584"/>
      <c r="Q30" s="584"/>
      <c r="R30" s="589" t="s">
        <v>300</v>
      </c>
      <c r="S30" s="590"/>
      <c r="T30" s="590"/>
      <c r="U30" s="590"/>
      <c r="V30" s="591"/>
      <c r="W30" s="126"/>
      <c r="X30" s="128"/>
      <c r="Y30" s="126"/>
      <c r="Z30" s="128"/>
      <c r="AA30" s="128"/>
      <c r="AB30" s="126"/>
      <c r="AC30" s="126"/>
      <c r="AD30" s="126"/>
      <c r="AE30" s="126"/>
      <c r="AF30" s="126"/>
      <c r="AG30" s="124"/>
    </row>
    <row r="31" spans="2:34" ht="17.100000000000001" customHeight="1">
      <c r="B31" s="641"/>
      <c r="C31" s="579"/>
      <c r="D31" s="580"/>
      <c r="E31" s="580"/>
      <c r="F31" s="580"/>
      <c r="G31" s="580"/>
      <c r="H31" s="562"/>
      <c r="I31" s="563"/>
      <c r="J31" s="563"/>
      <c r="K31" s="585"/>
      <c r="L31" s="586"/>
      <c r="M31" s="586"/>
      <c r="N31" s="586"/>
      <c r="O31" s="586"/>
      <c r="P31" s="586"/>
      <c r="Q31" s="586"/>
      <c r="R31" s="592"/>
      <c r="S31" s="593"/>
      <c r="T31" s="593"/>
      <c r="U31" s="593"/>
      <c r="V31" s="594"/>
      <c r="W31" s="126"/>
      <c r="X31" s="128"/>
      <c r="Y31" s="126"/>
      <c r="Z31" s="128"/>
      <c r="AA31" s="128"/>
      <c r="AB31" s="126"/>
      <c r="AC31" s="126"/>
      <c r="AD31" s="126"/>
      <c r="AE31" s="445" t="s">
        <v>475</v>
      </c>
      <c r="AF31" s="445"/>
      <c r="AG31" s="124"/>
    </row>
    <row r="32" spans="2:34" ht="17.100000000000001" customHeight="1" thickBot="1">
      <c r="B32" s="641"/>
      <c r="C32" s="549" t="s">
        <v>483</v>
      </c>
      <c r="D32" s="550"/>
      <c r="E32" s="550"/>
      <c r="F32" s="550"/>
      <c r="G32" s="551"/>
      <c r="H32" s="558"/>
      <c r="I32" s="559"/>
      <c r="J32" s="559"/>
      <c r="K32" s="564" t="s">
        <v>466</v>
      </c>
      <c r="L32" s="565"/>
      <c r="M32" s="565"/>
      <c r="N32" s="565"/>
      <c r="O32" s="565"/>
      <c r="P32" s="565"/>
      <c r="Q32" s="565"/>
      <c r="R32" s="565"/>
      <c r="S32" s="565"/>
      <c r="T32" s="565"/>
      <c r="U32" s="565"/>
      <c r="V32" s="566"/>
      <c r="W32" s="126"/>
      <c r="X32" s="128"/>
      <c r="Y32" s="126"/>
      <c r="Z32" s="128"/>
      <c r="AA32" s="128"/>
      <c r="AB32" s="126"/>
      <c r="AC32" s="126"/>
      <c r="AD32" s="126"/>
      <c r="AE32" s="567">
        <f>($H$17/2+$H$15+$H$16+0.5)</f>
        <v>0.5</v>
      </c>
      <c r="AF32" s="445"/>
      <c r="AG32" s="124"/>
    </row>
    <row r="33" spans="1:39" ht="17.100000000000001" customHeight="1" thickBot="1">
      <c r="B33" s="641"/>
      <c r="C33" s="552"/>
      <c r="D33" s="553"/>
      <c r="E33" s="553"/>
      <c r="F33" s="553"/>
      <c r="G33" s="554"/>
      <c r="H33" s="560"/>
      <c r="I33" s="561"/>
      <c r="J33" s="561"/>
      <c r="K33" s="568" t="s">
        <v>467</v>
      </c>
      <c r="L33" s="569"/>
      <c r="M33" s="569"/>
      <c r="N33" s="569"/>
      <c r="O33" s="229"/>
      <c r="P33" s="570" t="str">
        <f>IF(H32="任意入力",IF(O35*R35*U35+O36*R36*U36=0,"下記へ数値入力してください。",""),IF(SUM(O35:V36)=0,"下記への入力は不要です。","下記の数値を削除してください"))</f>
        <v>下記への入力は不要です。</v>
      </c>
      <c r="Q33" s="570"/>
      <c r="R33" s="570"/>
      <c r="S33" s="570"/>
      <c r="T33" s="570"/>
      <c r="U33" s="570"/>
      <c r="V33" s="571"/>
      <c r="W33" s="126"/>
      <c r="X33" s="140"/>
      <c r="Y33" s="141"/>
      <c r="Z33" s="572" t="s">
        <v>295</v>
      </c>
      <c r="AA33" s="573"/>
      <c r="AB33" s="572" t="s">
        <v>296</v>
      </c>
      <c r="AC33" s="573"/>
      <c r="AD33" s="126"/>
      <c r="AE33" s="126"/>
      <c r="AF33" s="126"/>
      <c r="AG33" s="124"/>
    </row>
    <row r="34" spans="1:39" ht="17.100000000000001" customHeight="1">
      <c r="B34" s="641"/>
      <c r="C34" s="552"/>
      <c r="D34" s="553"/>
      <c r="E34" s="553"/>
      <c r="F34" s="553"/>
      <c r="G34" s="554"/>
      <c r="H34" s="560"/>
      <c r="I34" s="561"/>
      <c r="J34" s="561"/>
      <c r="K34" s="345"/>
      <c r="L34" s="286"/>
      <c r="M34" s="574"/>
      <c r="N34" s="574"/>
      <c r="O34" s="538" t="s">
        <v>484</v>
      </c>
      <c r="P34" s="539"/>
      <c r="Q34" s="540"/>
      <c r="R34" s="541" t="s">
        <v>485</v>
      </c>
      <c r="S34" s="474"/>
      <c r="T34" s="474"/>
      <c r="U34" s="217" t="s">
        <v>153</v>
      </c>
      <c r="V34" s="218"/>
      <c r="W34" s="142"/>
      <c r="X34" s="143" t="s">
        <v>148</v>
      </c>
      <c r="Y34" s="144" t="s">
        <v>159</v>
      </c>
      <c r="Z34" s="146" t="e">
        <f>((VLOOKUP($H27,Y6:AA8,2,FALSE)+VLOOKUP($H$29,Y3:AA5,2,FALSE))*$AE$13+VLOOKUP(H32,Y11:AA12,2,FALSE)*$AE$13)/1000</f>
        <v>#N/A</v>
      </c>
      <c r="AA34" s="145" t="s">
        <v>166</v>
      </c>
      <c r="AB34" s="146" t="e">
        <f>((VLOOKUP($H27,Y6:AA8,2,FALSE)+VLOOKUP($H$29,Y3:AA5,2,FALSE))+VLOOKUP(H32,Y11:AA12,2,FALSE))/1000</f>
        <v>#N/A</v>
      </c>
      <c r="AC34" s="145" t="s">
        <v>166</v>
      </c>
      <c r="AD34" s="126"/>
      <c r="AE34" s="126"/>
      <c r="AF34" s="126"/>
      <c r="AG34" s="124"/>
    </row>
    <row r="35" spans="1:39" ht="17.100000000000001" customHeight="1">
      <c r="B35" s="641"/>
      <c r="C35" s="552"/>
      <c r="D35" s="553"/>
      <c r="E35" s="553"/>
      <c r="F35" s="553"/>
      <c r="G35" s="554"/>
      <c r="H35" s="560"/>
      <c r="I35" s="561"/>
      <c r="J35" s="561"/>
      <c r="K35" s="345"/>
      <c r="L35" s="286"/>
      <c r="M35" s="542" t="s">
        <v>588</v>
      </c>
      <c r="N35" s="542"/>
      <c r="O35" s="543"/>
      <c r="P35" s="544"/>
      <c r="Q35" s="545"/>
      <c r="R35" s="546"/>
      <c r="S35" s="546"/>
      <c r="T35" s="546"/>
      <c r="U35" s="547"/>
      <c r="V35" s="548"/>
      <c r="W35" s="142"/>
      <c r="X35" s="143" t="s">
        <v>543</v>
      </c>
      <c r="Y35" s="144" t="s">
        <v>159</v>
      </c>
      <c r="Z35" s="146" t="e">
        <f>((VLOOKUP($H27,Y6:AA8,2,FALSE)+VLOOKUP($H$29,Y3:AA5,2,FALSE))*$AE$13+VLOOKUP(H32,Y11:AA12,2,FALSE)*$AE$13+$Z$9*$AE$13)/1000</f>
        <v>#N/A</v>
      </c>
      <c r="AA35" s="145" t="s">
        <v>166</v>
      </c>
      <c r="AB35" s="146"/>
      <c r="AC35" s="145"/>
      <c r="AD35" s="126"/>
      <c r="AE35" s="126"/>
      <c r="AF35" s="126"/>
      <c r="AG35" s="124"/>
      <c r="AH35" s="5"/>
    </row>
    <row r="36" spans="1:39" ht="17.100000000000001" customHeight="1" thickBot="1">
      <c r="B36" s="641"/>
      <c r="C36" s="555"/>
      <c r="D36" s="556"/>
      <c r="E36" s="556"/>
      <c r="F36" s="556"/>
      <c r="G36" s="557"/>
      <c r="H36" s="562"/>
      <c r="I36" s="563"/>
      <c r="J36" s="563"/>
      <c r="K36" s="346"/>
      <c r="L36" s="287"/>
      <c r="M36" s="574" t="s">
        <v>589</v>
      </c>
      <c r="N36" s="574"/>
      <c r="O36" s="543"/>
      <c r="P36" s="544"/>
      <c r="Q36" s="545"/>
      <c r="R36" s="546"/>
      <c r="S36" s="546"/>
      <c r="T36" s="546"/>
      <c r="U36" s="546"/>
      <c r="V36" s="595"/>
      <c r="W36" s="305"/>
      <c r="X36" s="147" t="s">
        <v>149</v>
      </c>
      <c r="Y36" s="148" t="s">
        <v>157</v>
      </c>
      <c r="Z36" s="149" t="e">
        <f>((VLOOKUP($H28,Y19:AE23,7,FALSE)+$Z$28*$H$15/2.8+VLOOKUP($H37,Y24:AE25,7,FALSE)+$AE$26)*$AE$13)/1000</f>
        <v>#N/A</v>
      </c>
      <c r="AA36" s="150" t="s">
        <v>165</v>
      </c>
      <c r="AB36" s="149" t="e">
        <f>((VLOOKUP($H28,Y19:AE23,7,FALSE)+$Z$28*$H$15/2.8+VLOOKUP($H37,Y24:AE25,7,FALSE)+$AE$26))/1000</f>
        <v>#N/A</v>
      </c>
      <c r="AC36" s="150" t="s">
        <v>165</v>
      </c>
      <c r="AD36" s="126"/>
      <c r="AE36" s="454" t="s">
        <v>393</v>
      </c>
      <c r="AF36" s="454"/>
      <c r="AG36" s="124"/>
      <c r="AH36" s="5"/>
    </row>
    <row r="37" spans="1:39" ht="17.100000000000001" customHeight="1">
      <c r="B37" s="641"/>
      <c r="C37" s="596" t="s">
        <v>553</v>
      </c>
      <c r="D37" s="597"/>
      <c r="E37" s="597"/>
      <c r="F37" s="597"/>
      <c r="G37" s="597"/>
      <c r="H37" s="600"/>
      <c r="I37" s="601"/>
      <c r="J37" s="601"/>
      <c r="K37" s="606" t="s">
        <v>495</v>
      </c>
      <c r="L37" s="607"/>
      <c r="M37" s="607"/>
      <c r="N37" s="607"/>
      <c r="O37" s="607"/>
      <c r="P37" s="356"/>
      <c r="Q37" s="612" t="str">
        <f>IF(H37="任意入力",IF(R39*U39+R40*U40=0,"下記へ数値入力してください。",""),IF(SUM(R39:V40)=0,"下記への入力は不要です。","下記の数値を削除してください"))</f>
        <v>下記への入力は不要です。</v>
      </c>
      <c r="R37" s="612"/>
      <c r="S37" s="612"/>
      <c r="T37" s="612"/>
      <c r="U37" s="612"/>
      <c r="V37" s="613"/>
      <c r="W37" s="333"/>
      <c r="X37" s="151" t="s">
        <v>154</v>
      </c>
      <c r="Y37" s="152" t="s">
        <v>158</v>
      </c>
      <c r="Z37" s="153" t="e">
        <f>($Z$13+$AA$14)*$AE$13/1000</f>
        <v>#VALUE!</v>
      </c>
      <c r="AA37" s="150" t="s">
        <v>165</v>
      </c>
      <c r="AB37" s="153">
        <f>(Z13+AA16)/1000</f>
        <v>1.91</v>
      </c>
      <c r="AC37" s="148" t="s">
        <v>165</v>
      </c>
      <c r="AD37" s="274"/>
      <c r="AE37" s="275" t="s">
        <v>394</v>
      </c>
      <c r="AF37" s="158" t="s">
        <v>395</v>
      </c>
      <c r="AG37" s="124"/>
      <c r="AH37" s="5"/>
    </row>
    <row r="38" spans="1:39" ht="17.100000000000001" customHeight="1">
      <c r="B38" s="641"/>
      <c r="C38" s="596"/>
      <c r="D38" s="597"/>
      <c r="E38" s="597"/>
      <c r="F38" s="597"/>
      <c r="G38" s="597"/>
      <c r="H38" s="602"/>
      <c r="I38" s="603"/>
      <c r="J38" s="603"/>
      <c r="K38" s="608"/>
      <c r="L38" s="609"/>
      <c r="M38" s="609"/>
      <c r="N38" s="609"/>
      <c r="O38" s="609"/>
      <c r="P38" s="574"/>
      <c r="Q38" s="574"/>
      <c r="R38" s="626" t="s">
        <v>485</v>
      </c>
      <c r="S38" s="627"/>
      <c r="T38" s="628"/>
      <c r="U38" s="628" t="s">
        <v>153</v>
      </c>
      <c r="V38" s="629"/>
      <c r="W38" s="142"/>
      <c r="X38" s="147" t="s">
        <v>155</v>
      </c>
      <c r="Y38" s="152" t="s">
        <v>156</v>
      </c>
      <c r="Z38" s="153" t="e">
        <f>(VLOOKUP($H28,Y19:AE23,6,FALSE)+Z28*$H$16/2.8+VLOOKUP($H37,Y24:AE25,6,FALSE)+$AD$26)*1/1000</f>
        <v>#N/A</v>
      </c>
      <c r="AA38" s="150" t="s">
        <v>165</v>
      </c>
      <c r="AB38" s="153" t="e">
        <f>(VLOOKUP($H28,Y19:AE23,6,FALSE)+Z28*$H$16/2.8+VLOOKUP($H37,Y24:AE25,6,FALSE)+$AD$26)*1/1000</f>
        <v>#N/A</v>
      </c>
      <c r="AC38" s="148" t="s">
        <v>165</v>
      </c>
      <c r="AD38" s="337" t="s">
        <v>540</v>
      </c>
      <c r="AE38" s="238" t="str">
        <f>IFERROR(ROUNDUP(((1+(1/SQRT(Z42/Z42)-Z42/Z42)*2*0.03*$AE$32/(1+3*0.03*$AE$32))*$H$19*$AE$10)/0.0196*Z42,0),"")</f>
        <v/>
      </c>
      <c r="AF38" s="276" t="str">
        <f>IFERROR(ROUNDUP(((1+(1/SQRT(Z41/Z42)-Z41/Z42)*2*0.03*$AE$32/(1+3*0.03*$AE$32))*$H$19*$AE$10)/0.0196*Z41/$AE$13,0),"")</f>
        <v/>
      </c>
      <c r="AG38" s="124"/>
      <c r="AH38" s="5"/>
    </row>
    <row r="39" spans="1:39" ht="17.100000000000001" customHeight="1">
      <c r="B39" s="641"/>
      <c r="C39" s="596"/>
      <c r="D39" s="597"/>
      <c r="E39" s="597"/>
      <c r="F39" s="597"/>
      <c r="G39" s="597"/>
      <c r="H39" s="602"/>
      <c r="I39" s="603"/>
      <c r="J39" s="603"/>
      <c r="K39" s="608"/>
      <c r="L39" s="609"/>
      <c r="M39" s="609"/>
      <c r="N39" s="609"/>
      <c r="O39" s="609"/>
      <c r="P39" s="542" t="s">
        <v>588</v>
      </c>
      <c r="Q39" s="542"/>
      <c r="R39" s="630"/>
      <c r="S39" s="631"/>
      <c r="T39" s="632"/>
      <c r="U39" s="547"/>
      <c r="V39" s="633"/>
      <c r="W39" s="269"/>
      <c r="X39" s="154" t="s">
        <v>161</v>
      </c>
      <c r="Y39" s="155" t="s">
        <v>160</v>
      </c>
      <c r="Z39" s="271">
        <f>IF($AE$13&lt;1,(1-$AE$13)*(VLOOKUP($H27,Y6:AA8,2,FALSE)+VLOOKUP(H32,Y11:AA12,2,FALSE)+VLOOKUP($H$29,Y3:AA5,2,FALSE))/1000,0)</f>
        <v>0</v>
      </c>
      <c r="AA39" s="150" t="s">
        <v>165</v>
      </c>
      <c r="AB39" s="153"/>
      <c r="AC39" s="150"/>
      <c r="AD39" s="215" t="s">
        <v>545</v>
      </c>
      <c r="AE39" s="238" t="str">
        <f>IFERROR(ROUNDUP(((1+(1/SQRT(Z44/Z44)-Z44/Z44)*2*0.03*$AE$32/(1+3*0.03*$AE$32))*$H$19*$AF$6*$AE$10)/0.0196*Z44,0),"")</f>
        <v/>
      </c>
      <c r="AF39" s="276" t="str">
        <f>IFERROR(ROUNDUP(((1+(1/SQRT(Z43/Z44)-Z43/Z44)*2*0.03*$AE$32/(1+3*0.03*$AE$32))*$H$19*$AF$6*$AE$10)/0.0196*Z43/$AE$13,0),"")</f>
        <v/>
      </c>
      <c r="AG39" s="124"/>
      <c r="AH39" s="5"/>
      <c r="AI39" s="5"/>
    </row>
    <row r="40" spans="1:39" s="12" customFormat="1" ht="17.100000000000001" customHeight="1" thickBot="1">
      <c r="A40"/>
      <c r="B40" s="642"/>
      <c r="C40" s="598"/>
      <c r="D40" s="599"/>
      <c r="E40" s="599"/>
      <c r="F40" s="599"/>
      <c r="G40" s="599"/>
      <c r="H40" s="604"/>
      <c r="I40" s="605"/>
      <c r="J40" s="605"/>
      <c r="K40" s="610"/>
      <c r="L40" s="611"/>
      <c r="M40" s="611"/>
      <c r="N40" s="611"/>
      <c r="O40" s="611"/>
      <c r="P40" s="634" t="s">
        <v>589</v>
      </c>
      <c r="Q40" s="634"/>
      <c r="R40" s="635"/>
      <c r="S40" s="636"/>
      <c r="T40" s="637"/>
      <c r="U40" s="638"/>
      <c r="V40" s="639"/>
      <c r="W40" s="142"/>
      <c r="X40" s="309" t="s">
        <v>544</v>
      </c>
      <c r="Y40" s="155" t="s">
        <v>160</v>
      </c>
      <c r="Z40" s="271">
        <f>IF($AE$13&lt;1,(1-$AE$13)*(VLOOKUP($H27,Y6:AA8,2,FALSE)+VLOOKUP(H32,Y11:AA12,2,FALSE)+VLOOKUP($H$29,Y3:AA5,2,FALSE)+$Z$9)/1000,0)</f>
        <v>0</v>
      </c>
      <c r="AA40" s="145" t="s">
        <v>166</v>
      </c>
      <c r="AB40" s="268"/>
      <c r="AC40" s="272"/>
      <c r="AD40" s="215" t="s">
        <v>538</v>
      </c>
      <c r="AE40" s="238" t="str">
        <f>IFERROR(ROUNDUP(AE39*1.25,0),"")</f>
        <v/>
      </c>
      <c r="AF40" s="276" t="str">
        <f>IFERROR(ROUNDUP(AF39*1.25,0),"")</f>
        <v/>
      </c>
      <c r="AG40" s="245"/>
      <c r="AH40" s="242"/>
      <c r="AI40" s="242"/>
      <c r="AJ40" s="242"/>
    </row>
    <row r="41" spans="1:39" s="12" customFormat="1" ht="17.100000000000001" customHeight="1" thickBot="1">
      <c r="B41" s="68" t="s">
        <v>372</v>
      </c>
      <c r="C41" s="4"/>
      <c r="D41" s="4"/>
      <c r="E41" s="4"/>
      <c r="F41" s="4"/>
      <c r="G41" s="4"/>
      <c r="H41" s="53" t="s">
        <v>373</v>
      </c>
      <c r="I41" s="4"/>
      <c r="J41" s="347"/>
      <c r="K41" s="347"/>
      <c r="L41" s="347"/>
      <c r="M41" s="347"/>
      <c r="N41" s="347"/>
      <c r="O41" s="58"/>
      <c r="P41" s="58"/>
      <c r="Q41" s="58"/>
      <c r="R41" s="58"/>
      <c r="S41" s="348"/>
      <c r="T41" s="348"/>
      <c r="U41" s="348"/>
      <c r="V41" s="348"/>
      <c r="W41" s="656" t="s">
        <v>541</v>
      </c>
      <c r="X41" s="657" t="s">
        <v>162</v>
      </c>
      <c r="Y41" s="658"/>
      <c r="Z41" s="271" t="e">
        <f>Z34+0.5*Z36</f>
        <v>#N/A</v>
      </c>
      <c r="AA41" s="158" t="s">
        <v>165</v>
      </c>
      <c r="AB41" s="157" t="e">
        <f>AB34+0.5*AB36</f>
        <v>#N/A</v>
      </c>
      <c r="AC41" s="273" t="s">
        <v>165</v>
      </c>
      <c r="AD41" s="277" t="s">
        <v>539</v>
      </c>
      <c r="AE41" s="334" t="str">
        <f>IFERROR(ROUNDUP(AE39*1.5,0),"")</f>
        <v/>
      </c>
      <c r="AF41" s="335" t="str">
        <f>IFERROR(ROUNDUP(AF39*1.5,0),"")</f>
        <v/>
      </c>
      <c r="AG41" s="245"/>
      <c r="AH41" s="242"/>
      <c r="AI41" s="242"/>
      <c r="AJ41" s="242"/>
    </row>
    <row r="42" spans="1:39" ht="17.100000000000001" customHeight="1" thickBot="1">
      <c r="A42" s="68"/>
      <c r="B42" s="68" t="s">
        <v>374</v>
      </c>
      <c r="C42" s="56"/>
      <c r="D42" s="56"/>
      <c r="E42" s="56"/>
      <c r="F42" s="56"/>
      <c r="G42" s="56"/>
      <c r="H42" s="54"/>
      <c r="I42" s="54"/>
      <c r="J42" s="68"/>
      <c r="K42" s="56"/>
      <c r="L42" s="56"/>
      <c r="M42" s="56"/>
      <c r="N42" s="56"/>
      <c r="O42" s="56"/>
      <c r="P42" s="56"/>
      <c r="Q42" s="56"/>
      <c r="R42" s="56"/>
      <c r="S42" s="56"/>
      <c r="T42" s="56"/>
      <c r="U42" s="56"/>
      <c r="V42" s="348"/>
      <c r="W42" s="656"/>
      <c r="X42" s="644" t="s">
        <v>163</v>
      </c>
      <c r="Y42" s="659"/>
      <c r="Z42" s="271" t="e">
        <f>Z34+Z36+Z37+0.5*Z38+Z39</f>
        <v>#N/A</v>
      </c>
      <c r="AA42" s="240" t="s">
        <v>165</v>
      </c>
      <c r="AB42" s="239" t="e">
        <f>AB34+AB36+AB37+0.5*AB38</f>
        <v>#N/A</v>
      </c>
      <c r="AC42" s="240" t="s">
        <v>165</v>
      </c>
      <c r="AD42" s="241"/>
      <c r="AE42" s="241"/>
      <c r="AF42" s="241"/>
      <c r="AG42" s="124"/>
      <c r="AH42" s="5"/>
      <c r="AI42" s="5"/>
      <c r="AJ42" s="5"/>
    </row>
    <row r="43" spans="1:39" ht="17.100000000000001" customHeight="1" thickBot="1">
      <c r="A43" s="7"/>
      <c r="C43" s="39"/>
      <c r="D43" s="39"/>
      <c r="E43" s="39"/>
      <c r="F43" s="39"/>
      <c r="G43" s="39"/>
      <c r="H43" s="54"/>
      <c r="I43" s="54"/>
      <c r="J43" s="7"/>
      <c r="K43" s="48"/>
      <c r="L43" s="48"/>
      <c r="M43" s="48"/>
      <c r="N43" s="48"/>
      <c r="O43" s="48"/>
      <c r="P43" s="48"/>
      <c r="Q43" s="48"/>
      <c r="R43" s="48"/>
      <c r="S43" s="48"/>
      <c r="T43" s="48"/>
      <c r="U43" s="48"/>
      <c r="V43" s="48"/>
      <c r="W43" s="656" t="s">
        <v>542</v>
      </c>
      <c r="X43" s="660" t="s">
        <v>162</v>
      </c>
      <c r="Y43" s="657"/>
      <c r="Z43" s="270" t="e">
        <f>Z35+0.5*Z36</f>
        <v>#N/A</v>
      </c>
      <c r="AA43" s="158" t="s">
        <v>165</v>
      </c>
      <c r="AB43" s="244"/>
      <c r="AC43" s="241"/>
      <c r="AD43" s="126"/>
      <c r="AE43" s="126"/>
      <c r="AF43" s="126"/>
      <c r="AG43" s="124"/>
      <c r="AH43" s="5"/>
      <c r="AI43" s="5"/>
      <c r="AJ43" s="5"/>
    </row>
    <row r="44" spans="1:39" ht="17.100000000000001" customHeight="1" thickBot="1">
      <c r="B44" s="614" t="s">
        <v>30</v>
      </c>
      <c r="C44" s="617" t="s">
        <v>652</v>
      </c>
      <c r="D44" s="617"/>
      <c r="E44" s="617"/>
      <c r="F44" s="622" t="str">
        <f>IF(F45="等級1","耐震等級","等級")</f>
        <v>等級</v>
      </c>
      <c r="G44" s="623"/>
      <c r="H44" s="624" t="s">
        <v>22</v>
      </c>
      <c r="I44" s="624"/>
      <c r="J44" s="624" t="s">
        <v>23</v>
      </c>
      <c r="K44" s="625"/>
      <c r="L44" s="54"/>
      <c r="M44" s="54"/>
      <c r="N44" s="54"/>
      <c r="O44" s="54"/>
      <c r="P44" s="54"/>
      <c r="Q44" s="54"/>
      <c r="R44" s="54"/>
      <c r="S44" s="7"/>
      <c r="T44" s="7"/>
      <c r="U44" s="7"/>
      <c r="V44" s="48"/>
      <c r="W44" s="656"/>
      <c r="X44" s="643" t="s">
        <v>163</v>
      </c>
      <c r="Y44" s="644"/>
      <c r="Z44" s="239" t="e">
        <f>Z35+Z36+Z37+0.5*Z38+Z40</f>
        <v>#N/A</v>
      </c>
      <c r="AA44" s="240" t="s">
        <v>165</v>
      </c>
      <c r="AB44" s="162"/>
      <c r="AC44" s="126"/>
      <c r="AD44" s="126"/>
      <c r="AE44" s="126"/>
      <c r="AF44" s="126"/>
      <c r="AG44" s="124"/>
      <c r="AH44" s="11"/>
      <c r="AI44" s="5"/>
      <c r="AJ44" s="5"/>
    </row>
    <row r="45" spans="1:39" ht="17.100000000000001" customHeight="1">
      <c r="B45" s="615"/>
      <c r="C45" s="618"/>
      <c r="D45" s="618"/>
      <c r="E45" s="619"/>
      <c r="F45" s="645" t="str">
        <f>IF($W$8=TRUE,"等級1","基準法")</f>
        <v>基準法</v>
      </c>
      <c r="G45" s="646"/>
      <c r="H45" s="647" t="str">
        <f>IF(W11=1,IF(R29="下記へ数値入力してください。","",IF(P33="下記へ数値入力してください。","",IF(Q37="下記へ数値入力してください。","",AE38)))," ")</f>
        <v xml:space="preserve"> </v>
      </c>
      <c r="I45" s="647"/>
      <c r="J45" s="647" t="str">
        <f>IF(W11=1,IF(R29="下記へ数値入力してください。","",IF(P33="下記へ数値入力してください。","",IF(Q37="下記へ数値入力してください。","",AF38)))," ")</f>
        <v xml:space="preserve"> </v>
      </c>
      <c r="K45" s="648"/>
      <c r="L45" s="649" t="s">
        <v>528</v>
      </c>
      <c r="M45" s="650"/>
      <c r="N45" s="650"/>
      <c r="O45" s="650"/>
      <c r="P45" s="650"/>
      <c r="Q45" s="650"/>
      <c r="R45" s="650"/>
      <c r="S45" s="650"/>
      <c r="T45" s="650"/>
      <c r="U45" s="650"/>
      <c r="V45" s="650"/>
      <c r="W45" s="199"/>
      <c r="X45" s="243"/>
      <c r="Y45" s="243"/>
      <c r="Z45" s="244"/>
      <c r="AA45" s="241"/>
      <c r="AB45" s="162"/>
      <c r="AC45" s="126"/>
      <c r="AD45" s="126"/>
      <c r="AE45" s="126"/>
      <c r="AF45" s="126"/>
      <c r="AG45" s="124"/>
      <c r="AH45" s="11"/>
      <c r="AI45" s="5"/>
      <c r="AJ45" s="5"/>
    </row>
    <row r="46" spans="1:39" ht="17.100000000000001" customHeight="1">
      <c r="B46" s="615"/>
      <c r="C46" s="618"/>
      <c r="D46" s="618"/>
      <c r="E46" s="619"/>
      <c r="F46" s="651" t="str">
        <f>IF($W$8=TRUE,"等級2","ー")</f>
        <v>ー</v>
      </c>
      <c r="G46" s="652"/>
      <c r="H46" s="653" t="str">
        <f>IF(W11=1,IF($W$8=TRUE,IF(R29="下記へ数値入力してください。","",IF(P33="下記へ数値入力してください。","",IF(Q37="下記へ数値入力してください。","",AE40))),"ー")," ")</f>
        <v xml:space="preserve"> </v>
      </c>
      <c r="I46" s="654"/>
      <c r="J46" s="653" t="str">
        <f>IF(W11=1,IF($W$8=TRUE,IF(R29="下記へ数値入力してください。","",IF(P33="下記へ数値入力してください。","",IF(Q37="下記へ数値入力してください。","",AF40))),"ー")," ")</f>
        <v xml:space="preserve"> </v>
      </c>
      <c r="K46" s="655"/>
      <c r="L46" s="649"/>
      <c r="M46" s="650"/>
      <c r="N46" s="650"/>
      <c r="O46" s="650"/>
      <c r="P46" s="650"/>
      <c r="Q46" s="650"/>
      <c r="R46" s="650"/>
      <c r="S46" s="650"/>
      <c r="T46" s="650"/>
      <c r="U46" s="650"/>
      <c r="V46" s="650"/>
      <c r="W46" s="199"/>
      <c r="X46" s="128"/>
      <c r="Y46" s="128"/>
      <c r="Z46" s="162"/>
      <c r="AA46" s="126"/>
      <c r="AB46" s="126"/>
      <c r="AC46" s="126"/>
      <c r="AD46" s="126"/>
      <c r="AE46" s="126"/>
      <c r="AF46" s="126"/>
      <c r="AG46" s="124"/>
      <c r="AH46" s="11"/>
      <c r="AI46" s="5"/>
    </row>
    <row r="47" spans="1:39" ht="17.100000000000001" customHeight="1" thickBot="1">
      <c r="B47" s="616"/>
      <c r="C47" s="620"/>
      <c r="D47" s="620"/>
      <c r="E47" s="621"/>
      <c r="F47" s="673" t="str">
        <f>IF($W$8=TRUE,"等級3","ー")</f>
        <v>ー</v>
      </c>
      <c r="G47" s="674"/>
      <c r="H47" s="675" t="str">
        <f>IF(W11=1,IF($W$8=TRUE,IF(R29="下記へ数値入力してください。","",IF(P33="下記へ数値入力してください。","",IF(Q37="下記へ数値入力してください。","",AE41))),"ー")," ")</f>
        <v xml:space="preserve"> </v>
      </c>
      <c r="I47" s="676"/>
      <c r="J47" s="675" t="str">
        <f>IF(W11=1,IF($W$8=TRUE,IF(R29="下記へ数値入力してください。","",IF(P33="下記へ数値入力してください。","",IF(Q37="下記へ数値入力してください。","",AF41))),"ー")," ")</f>
        <v xml:space="preserve"> </v>
      </c>
      <c r="K47" s="677"/>
      <c r="L47" s="608" t="str">
        <f>IF(H22&gt;0,"※等級1は基準法と同一の値になるので、積雪荷重は影響しません。","")</f>
        <v/>
      </c>
      <c r="M47" s="609"/>
      <c r="N47" s="609"/>
      <c r="O47" s="609"/>
      <c r="P47" s="609"/>
      <c r="Q47" s="609"/>
      <c r="R47" s="609"/>
      <c r="S47" s="609"/>
      <c r="T47" s="609"/>
      <c r="U47" s="609"/>
      <c r="V47" s="609"/>
      <c r="W47" s="199"/>
      <c r="X47" s="309"/>
      <c r="Y47" s="309"/>
      <c r="Z47" s="309"/>
      <c r="AA47" s="126"/>
      <c r="AB47" s="126"/>
      <c r="AC47" s="126"/>
      <c r="AD47" s="126"/>
      <c r="AE47" s="126"/>
      <c r="AF47" s="126"/>
      <c r="AG47" s="138"/>
      <c r="AH47" s="5"/>
      <c r="AI47" s="5"/>
      <c r="AJ47" s="5"/>
      <c r="AL47" s="5"/>
      <c r="AM47" s="5"/>
    </row>
    <row r="48" spans="1:39" ht="17.100000000000001" customHeight="1">
      <c r="B48" s="56"/>
      <c r="C48" s="10"/>
      <c r="D48" s="10"/>
      <c r="E48" s="10"/>
      <c r="F48" s="10"/>
      <c r="G48" s="10"/>
      <c r="H48" s="55"/>
      <c r="I48" s="55"/>
      <c r="J48" s="55"/>
      <c r="K48" s="55"/>
      <c r="L48" s="352"/>
      <c r="M48" s="352"/>
      <c r="N48" s="352"/>
      <c r="O48" s="352"/>
      <c r="P48" s="352"/>
      <c r="Q48" s="352"/>
      <c r="R48" s="352"/>
      <c r="S48" s="352"/>
      <c r="T48" s="352"/>
      <c r="U48" s="352"/>
      <c r="V48" s="352"/>
      <c r="W48" s="199"/>
      <c r="X48" s="309"/>
      <c r="Y48" s="309"/>
      <c r="Z48" s="309"/>
      <c r="AA48" s="126"/>
      <c r="AB48" s="126"/>
      <c r="AC48" s="126"/>
      <c r="AD48" s="126"/>
      <c r="AE48" s="126"/>
      <c r="AF48" s="126"/>
      <c r="AG48" s="138"/>
      <c r="AH48" s="11"/>
      <c r="AI48" s="5"/>
      <c r="AJ48" s="5"/>
      <c r="AK48" s="5"/>
      <c r="AL48" s="5"/>
      <c r="AM48" s="5"/>
    </row>
    <row r="49" spans="1:43" ht="17.100000000000001" customHeight="1">
      <c r="A49" s="45" t="s">
        <v>628</v>
      </c>
      <c r="B49" s="46"/>
      <c r="C49" s="8"/>
      <c r="D49" s="8"/>
      <c r="E49" s="8"/>
      <c r="F49" s="8"/>
      <c r="G49" s="8"/>
      <c r="H49" s="47"/>
      <c r="I49" s="47"/>
      <c r="J49" s="8"/>
      <c r="K49" s="47"/>
      <c r="L49" s="47"/>
      <c r="M49" s="47"/>
      <c r="N49" s="47"/>
      <c r="O49" s="47"/>
      <c r="P49" s="47"/>
      <c r="Q49" s="47"/>
      <c r="R49" s="47"/>
      <c r="S49" s="237"/>
      <c r="T49" s="237"/>
      <c r="U49" s="237"/>
      <c r="V49" s="7"/>
      <c r="W49" s="199"/>
      <c r="X49" s="309"/>
      <c r="Y49" s="309"/>
      <c r="Z49" s="309"/>
      <c r="AA49" s="126"/>
      <c r="AB49" s="126"/>
      <c r="AC49" s="126"/>
      <c r="AD49" s="126"/>
      <c r="AE49" s="126"/>
      <c r="AF49" s="126"/>
      <c r="AG49" s="138"/>
      <c r="AH49" s="11"/>
      <c r="AI49" s="5"/>
      <c r="AJ49" s="5"/>
      <c r="AK49" s="5"/>
      <c r="AL49" s="5"/>
      <c r="AM49" s="5"/>
    </row>
    <row r="50" spans="1:43" ht="17.100000000000001" customHeight="1">
      <c r="A50" s="46" t="s">
        <v>405</v>
      </c>
      <c r="B50" s="46"/>
      <c r="C50" s="8"/>
      <c r="D50" s="8"/>
      <c r="E50" s="8"/>
      <c r="F50" s="8"/>
      <c r="G50" s="8"/>
      <c r="H50" s="47"/>
      <c r="I50" s="47"/>
      <c r="J50" s="8"/>
      <c r="K50" s="47"/>
      <c r="L50" s="47"/>
      <c r="M50" s="47"/>
      <c r="N50" s="47"/>
      <c r="O50" s="47"/>
      <c r="P50" s="47"/>
      <c r="Q50" s="47"/>
      <c r="R50" s="47"/>
      <c r="S50" s="237"/>
      <c r="T50" s="237"/>
      <c r="U50" s="237"/>
      <c r="V50" s="237"/>
      <c r="W50" s="199"/>
      <c r="X50" s="128"/>
      <c r="Y50" s="128"/>
      <c r="Z50" s="126"/>
      <c r="AA50" s="126"/>
      <c r="AB50" s="126"/>
      <c r="AC50" s="126"/>
      <c r="AD50" s="126"/>
      <c r="AE50" s="126"/>
      <c r="AF50" s="126"/>
      <c r="AG50" s="124"/>
      <c r="AH50" s="5"/>
      <c r="AI50" s="11"/>
      <c r="AJ50" s="11"/>
      <c r="AK50" s="5"/>
      <c r="AL50" s="11"/>
      <c r="AM50" s="11"/>
      <c r="AN50" s="11"/>
      <c r="AO50" s="5"/>
      <c r="AP50" s="5"/>
      <c r="AQ50" s="5"/>
    </row>
    <row r="51" spans="1:43" ht="17.100000000000001" customHeight="1" thickBot="1">
      <c r="A51" s="46" t="s">
        <v>496</v>
      </c>
      <c r="B51" s="46"/>
      <c r="C51" s="8"/>
      <c r="D51" s="8"/>
      <c r="E51" s="8"/>
      <c r="F51" s="8"/>
      <c r="G51" s="8"/>
      <c r="H51" s="47"/>
      <c r="I51" s="47"/>
      <c r="J51" s="8"/>
      <c r="K51" s="47"/>
      <c r="L51" s="47"/>
      <c r="M51" s="47"/>
      <c r="N51" s="47"/>
      <c r="O51" s="47"/>
      <c r="P51" s="47"/>
      <c r="Q51" s="47"/>
      <c r="R51" s="47"/>
      <c r="S51" s="237"/>
      <c r="T51" s="237"/>
      <c r="U51" s="237"/>
      <c r="V51" s="237"/>
      <c r="W51" s="199"/>
      <c r="X51" s="128"/>
      <c r="Y51" s="128"/>
      <c r="Z51" s="126"/>
      <c r="AA51" s="126"/>
      <c r="AB51" s="126"/>
      <c r="AC51" s="126"/>
      <c r="AD51" s="126"/>
      <c r="AE51" s="126"/>
      <c r="AF51" s="126"/>
      <c r="AG51" s="124"/>
      <c r="AH51" s="5"/>
      <c r="AI51" s="11"/>
      <c r="AJ51" s="11"/>
      <c r="AK51" s="5"/>
      <c r="AL51" s="11"/>
      <c r="AM51" s="11"/>
      <c r="AN51" s="11"/>
      <c r="AO51" s="5"/>
      <c r="AP51" s="5"/>
      <c r="AQ51" s="5"/>
    </row>
    <row r="52" spans="1:43" ht="15.75" customHeight="1">
      <c r="A52" s="46"/>
      <c r="B52" s="46" t="str">
        <f>IF(H22&gt;0,"柱の小径は、建築基準法に基づく検討内容なので積雪荷重は影響しません。","")</f>
        <v/>
      </c>
      <c r="C52" s="8"/>
      <c r="D52" s="8"/>
      <c r="E52" s="8"/>
      <c r="F52" s="8"/>
      <c r="G52" s="8"/>
      <c r="H52" s="47"/>
      <c r="I52" s="47"/>
      <c r="J52" s="8"/>
      <c r="K52" s="47"/>
      <c r="L52" s="47"/>
      <c r="M52" s="47"/>
      <c r="N52" s="47"/>
      <c r="O52" s="47"/>
      <c r="P52" s="47"/>
      <c r="Q52" s="47"/>
      <c r="R52" s="47"/>
      <c r="S52" s="237"/>
      <c r="T52" s="237"/>
      <c r="U52" s="237"/>
      <c r="V52" s="237"/>
      <c r="W52" s="311" t="b">
        <v>0</v>
      </c>
      <c r="X52" s="678" t="s">
        <v>190</v>
      </c>
      <c r="Y52" s="679"/>
      <c r="Z52" s="684" t="s">
        <v>187</v>
      </c>
      <c r="AA52" s="661" t="s">
        <v>188</v>
      </c>
      <c r="AB52" s="664" t="s">
        <v>316</v>
      </c>
      <c r="AC52" s="664" t="s">
        <v>317</v>
      </c>
      <c r="AD52" s="664" t="s">
        <v>297</v>
      </c>
      <c r="AE52" s="667" t="s">
        <v>318</v>
      </c>
      <c r="AF52" s="670" t="s">
        <v>189</v>
      </c>
      <c r="AG52" s="124"/>
      <c r="AH52" s="5"/>
      <c r="AI52" s="11"/>
      <c r="AJ52" s="5"/>
      <c r="AK52" s="11"/>
    </row>
    <row r="53" spans="1:43" ht="17.100000000000001" customHeight="1">
      <c r="H53"/>
      <c r="I53"/>
      <c r="J53" s="4"/>
      <c r="K53" s="4"/>
      <c r="L53" s="4"/>
      <c r="M53" s="4"/>
      <c r="N53" s="4"/>
      <c r="O53" s="4"/>
      <c r="P53" s="4"/>
      <c r="Q53" s="4"/>
      <c r="R53" s="4"/>
      <c r="S53" s="4"/>
      <c r="T53" s="4"/>
      <c r="U53" s="4"/>
      <c r="V53" s="237"/>
      <c r="W53" s="311"/>
      <c r="X53" s="680"/>
      <c r="Y53" s="681"/>
      <c r="Z53" s="685"/>
      <c r="AA53" s="662"/>
      <c r="AB53" s="665"/>
      <c r="AC53" s="665"/>
      <c r="AD53" s="665"/>
      <c r="AE53" s="668"/>
      <c r="AF53" s="671"/>
      <c r="AG53" s="138"/>
      <c r="AH53" s="5"/>
      <c r="AI53" s="5"/>
      <c r="AJ53" s="5"/>
      <c r="AK53" s="5"/>
    </row>
    <row r="54" spans="1:43" ht="17.100000000000001" customHeight="1" thickBot="1">
      <c r="B54" s="44" t="s">
        <v>331</v>
      </c>
      <c r="C54" s="7"/>
      <c r="D54" s="7"/>
      <c r="E54" s="7"/>
      <c r="H54"/>
      <c r="I54"/>
      <c r="K54" s="4"/>
      <c r="L54" s="4"/>
      <c r="M54" s="4"/>
      <c r="N54" s="4"/>
      <c r="O54" s="4"/>
      <c r="P54" s="4"/>
      <c r="Q54" s="4"/>
      <c r="R54" s="4"/>
      <c r="S54" s="4"/>
      <c r="T54" s="4"/>
      <c r="U54" s="4"/>
      <c r="V54" s="4"/>
      <c r="W54" s="169"/>
      <c r="X54" s="682"/>
      <c r="Y54" s="683"/>
      <c r="Z54" s="686"/>
      <c r="AA54" s="663"/>
      <c r="AB54" s="666"/>
      <c r="AC54" s="666"/>
      <c r="AD54" s="666"/>
      <c r="AE54" s="669"/>
      <c r="AF54" s="672"/>
      <c r="AG54" s="138"/>
      <c r="AH54" s="11"/>
      <c r="AI54" s="11"/>
      <c r="AJ54" s="5"/>
      <c r="AK54" s="5"/>
    </row>
    <row r="55" spans="1:43" ht="17.100000000000001" customHeight="1" thickBot="1">
      <c r="B55" s="44" t="s">
        <v>381</v>
      </c>
      <c r="C55" s="7"/>
      <c r="D55" s="7"/>
      <c r="E55" s="7"/>
      <c r="H55"/>
      <c r="I55" s="57" t="s">
        <v>373</v>
      </c>
      <c r="K55" s="4"/>
      <c r="L55" s="4"/>
      <c r="M55" s="4"/>
      <c r="N55" s="4"/>
      <c r="O55" s="4"/>
      <c r="P55" s="4"/>
      <c r="Q55" s="4"/>
      <c r="R55" s="4"/>
      <c r="S55" s="4"/>
      <c r="T55" s="4"/>
      <c r="U55" s="4"/>
      <c r="V55" s="4"/>
      <c r="W55" s="169"/>
      <c r="X55" s="697" t="s">
        <v>23</v>
      </c>
      <c r="Y55" s="698"/>
      <c r="Z55" s="163" t="e">
        <f>AB34+0.5*AB36</f>
        <v>#N/A</v>
      </c>
      <c r="AA55" s="164" t="e">
        <f>AB34+0.5*($Z$28*$H$15/2.8)/1000</f>
        <v>#N/A</v>
      </c>
      <c r="AB55" s="222"/>
      <c r="AC55" s="222"/>
      <c r="AD55" s="165">
        <f>$H$15*1000-105</f>
        <v>-105</v>
      </c>
      <c r="AE55" s="338" t="str">
        <f>IF($W$52=TRUE,17.7,"")</f>
        <v/>
      </c>
      <c r="AF55" s="166">
        <v>5</v>
      </c>
      <c r="AG55" s="138"/>
      <c r="AH55" s="5"/>
      <c r="AI55" s="11"/>
      <c r="AJ55" s="5"/>
      <c r="AK55" s="5"/>
    </row>
    <row r="56" spans="1:43" ht="17.100000000000001" customHeight="1" thickBot="1">
      <c r="A56" s="49"/>
      <c r="B56" s="699" t="s">
        <v>274</v>
      </c>
      <c r="C56" s="700"/>
      <c r="D56" s="701" t="s">
        <v>200</v>
      </c>
      <c r="E56" s="702"/>
      <c r="F56" s="702"/>
      <c r="G56" s="702"/>
      <c r="H56" s="703"/>
      <c r="I56" s="58"/>
      <c r="J56" s="58"/>
      <c r="K56" s="58"/>
      <c r="L56" s="58"/>
      <c r="M56" s="58"/>
      <c r="N56" s="58"/>
      <c r="O56" s="58"/>
      <c r="P56" s="58"/>
      <c r="Q56" s="58"/>
      <c r="R56" s="58"/>
      <c r="S56" s="58"/>
      <c r="T56" s="58"/>
      <c r="U56" s="58"/>
      <c r="V56" s="4"/>
      <c r="W56" s="178"/>
      <c r="X56" s="704" t="s">
        <v>22</v>
      </c>
      <c r="Y56" s="705"/>
      <c r="Z56" s="219" t="e">
        <f>AB34+AB36+AB37+AB39+0.5*AB38</f>
        <v>#N/A</v>
      </c>
      <c r="AA56" s="167" t="e">
        <f>AB34+($Z$28*$H$15/2.8)/1000+AB37+AB39+0.5*($Z$28*$H$16/2.8)/1000</f>
        <v>#N/A</v>
      </c>
      <c r="AB56" s="220" t="e">
        <f>AB39+0.5*AB38</f>
        <v>#N/A</v>
      </c>
      <c r="AC56" s="221">
        <f>AB39+0.5*($Z$28*$H$16/2.8)/1000</f>
        <v>0</v>
      </c>
      <c r="AD56" s="168">
        <f>$H$16*1000-120</f>
        <v>-120</v>
      </c>
      <c r="AE56" s="310" t="str">
        <f>IF($W$52=TRUE,17.7,"")</f>
        <v/>
      </c>
      <c r="AF56" s="126"/>
      <c r="AG56" s="138"/>
      <c r="AH56" s="5"/>
      <c r="AI56" s="11"/>
      <c r="AJ56" s="5"/>
      <c r="AK56" s="5"/>
      <c r="AL56" s="5"/>
      <c r="AM56" s="5"/>
    </row>
    <row r="57" spans="1:43" ht="17.100000000000001" customHeight="1" thickBot="1">
      <c r="B57" s="596"/>
      <c r="C57" s="597"/>
      <c r="D57" s="706" t="s">
        <v>534</v>
      </c>
      <c r="E57" s="707"/>
      <c r="F57" s="710" t="s">
        <v>535</v>
      </c>
      <c r="G57" s="710"/>
      <c r="H57" s="711"/>
      <c r="I57" s="58"/>
      <c r="J57" s="58"/>
      <c r="K57" s="58"/>
      <c r="L57" s="58"/>
      <c r="M57" s="58"/>
      <c r="N57" s="58"/>
      <c r="O57" s="58"/>
      <c r="P57" s="58"/>
      <c r="Q57" s="58"/>
      <c r="R57" s="58"/>
      <c r="S57" s="58"/>
      <c r="T57" s="58"/>
      <c r="U57" s="58"/>
      <c r="V57" s="58"/>
      <c r="W57" s="178"/>
      <c r="X57" s="170"/>
      <c r="Y57" s="243"/>
      <c r="Z57" s="171"/>
      <c r="AA57" s="128"/>
      <c r="AB57" s="128"/>
      <c r="AC57" s="172"/>
      <c r="AD57" s="172"/>
      <c r="AE57" s="126"/>
      <c r="AF57" s="126"/>
      <c r="AG57" s="138"/>
      <c r="AH57" s="5"/>
      <c r="AI57" s="5"/>
      <c r="AJ57" s="5"/>
      <c r="AK57" s="5"/>
      <c r="AL57" s="5"/>
      <c r="AM57" s="5"/>
    </row>
    <row r="58" spans="1:43" ht="17.100000000000001" customHeight="1" thickBot="1">
      <c r="B58" s="598"/>
      <c r="C58" s="599"/>
      <c r="D58" s="708"/>
      <c r="E58" s="709"/>
      <c r="F58" s="712"/>
      <c r="G58" s="712"/>
      <c r="H58" s="713"/>
      <c r="I58" s="58"/>
      <c r="J58" s="58"/>
      <c r="K58" s="58"/>
      <c r="L58" s="58"/>
      <c r="M58" s="58"/>
      <c r="N58" s="58"/>
      <c r="O58" s="58"/>
      <c r="P58" s="58"/>
      <c r="Q58" s="58"/>
      <c r="R58" s="58"/>
      <c r="S58" s="58"/>
      <c r="T58" s="58"/>
      <c r="U58" s="58"/>
      <c r="V58" s="58"/>
      <c r="W58" s="178"/>
      <c r="X58" s="173"/>
      <c r="Y58" s="174" t="s">
        <v>192</v>
      </c>
      <c r="Z58" s="175" t="s">
        <v>191</v>
      </c>
      <c r="AA58" s="176" t="s">
        <v>193</v>
      </c>
      <c r="AB58" s="176" t="s">
        <v>278</v>
      </c>
      <c r="AC58" s="279" t="s">
        <v>277</v>
      </c>
      <c r="AD58" s="243"/>
      <c r="AE58" s="126"/>
      <c r="AF58" s="126"/>
      <c r="AG58" s="138"/>
      <c r="AH58" s="5"/>
      <c r="AI58" s="5"/>
      <c r="AK58" s="5"/>
      <c r="AM58" s="5"/>
    </row>
    <row r="59" spans="1:43" ht="17.100000000000001" customHeight="1">
      <c r="B59" s="455" t="s">
        <v>23</v>
      </c>
      <c r="C59" s="456"/>
      <c r="D59" s="687" t="str">
        <f>IFERROR(IF($W$52=TRUE,"１/"&amp;ROUNDDOWN((H15*1000-105)/F59,1),""),"")</f>
        <v/>
      </c>
      <c r="E59" s="688"/>
      <c r="F59" s="689" t="str">
        <f>IF($W$52=TRUE,IF(AB59="","",MAX(AB59:AC59)),"")</f>
        <v/>
      </c>
      <c r="G59" s="689"/>
      <c r="H59" s="690"/>
      <c r="I59" s="59"/>
      <c r="J59" s="59"/>
      <c r="K59" s="59"/>
      <c r="L59" s="59"/>
      <c r="M59" s="59"/>
      <c r="N59" s="59"/>
      <c r="O59" s="59"/>
      <c r="P59" s="59"/>
      <c r="Q59" s="59"/>
      <c r="R59" s="59"/>
      <c r="S59" s="59"/>
      <c r="T59" s="59"/>
      <c r="U59" s="59"/>
      <c r="V59" s="58"/>
      <c r="W59" s="178"/>
      <c r="X59" s="179" t="s">
        <v>167</v>
      </c>
      <c r="Y59" s="180">
        <f>$AD$55/52.7</f>
        <v>-1.9924098671726753</v>
      </c>
      <c r="Z59" s="181">
        <f>$AD$55/8.66</f>
        <v>-12.124711316397228</v>
      </c>
      <c r="AA59" s="182" t="e">
        <f>SQRT($Z$55*$AF$55/(1.1/3*AE55)*1000)</f>
        <v>#N/A</v>
      </c>
      <c r="AB59" s="182" t="str">
        <f>IFERROR(ROUNDUP(IF(Y59&gt;AA59,(12*($AD$55)^2/3000*AA59^2)^(1/4),IF(Z59&lt;AA59,AA59,$AD$55/75.05+SQRT(($AD$55/75.05)^2+AA59^2/1.3))),0),"")</f>
        <v/>
      </c>
      <c r="AC59" s="280">
        <f>ROUNDUP(SQRT(12)*AD55/150,0)</f>
        <v>-3</v>
      </c>
      <c r="AD59" s="243"/>
      <c r="AE59" s="126"/>
      <c r="AF59" s="126"/>
      <c r="AG59" s="138"/>
      <c r="AH59" s="5"/>
      <c r="AI59" s="5"/>
    </row>
    <row r="60" spans="1:43" s="7" customFormat="1" ht="17.100000000000001" customHeight="1" thickBot="1">
      <c r="A60"/>
      <c r="B60" s="691" t="s">
        <v>22</v>
      </c>
      <c r="C60" s="692"/>
      <c r="D60" s="693" t="str">
        <f>IFERROR(IF($W$52=TRUE,"１/"&amp;ROUNDDOWN((H16*1000-120)/F60,1),""),"")</f>
        <v/>
      </c>
      <c r="E60" s="694"/>
      <c r="F60" s="695" t="str">
        <f>IF($W$52=TRUE,IF(AB60="","",MAX(AB60:AC60)),"")</f>
        <v/>
      </c>
      <c r="G60" s="695"/>
      <c r="H60" s="696"/>
      <c r="I60" s="59"/>
      <c r="J60" s="59"/>
      <c r="K60" s="59"/>
      <c r="L60" s="59"/>
      <c r="M60" s="59"/>
      <c r="N60" s="59"/>
      <c r="O60" s="59"/>
      <c r="P60" s="59"/>
      <c r="Q60" s="59"/>
      <c r="R60" s="59"/>
      <c r="S60" s="59"/>
      <c r="T60" s="59"/>
      <c r="U60" s="59"/>
      <c r="V60" s="59"/>
      <c r="W60" s="178"/>
      <c r="X60" s="183" t="s">
        <v>194</v>
      </c>
      <c r="Y60" s="184">
        <f>$AD$56/52.7</f>
        <v>-2.2770398481973433</v>
      </c>
      <c r="Z60" s="185">
        <f>$AD$56/8.66</f>
        <v>-13.856812933025404</v>
      </c>
      <c r="AA60" s="186" t="e">
        <f>SQRT($Z$56*$AF$55/(1.1/3*AE56)*1000)</f>
        <v>#N/A</v>
      </c>
      <c r="AB60" s="186" t="str">
        <f>IFERROR(ROUNDUP(IF(Y60&gt;AA60,(12*($AD$56)^2/3000*AA60^2)^(1/4),IF(Z60&lt;AA60,AA60,$AD$56/75.05+SQRT(($AD$56/75.05)^2+AA60^2/1.3))),0),"")</f>
        <v/>
      </c>
      <c r="AC60" s="281">
        <f>ROUNDUP(SQRT(12)*AD56/150,0)</f>
        <v>-3</v>
      </c>
      <c r="AD60" s="243"/>
      <c r="AE60" s="126"/>
      <c r="AF60" s="126"/>
      <c r="AG60" s="124"/>
      <c r="AH60" s="5"/>
      <c r="AI60" s="5"/>
      <c r="AJ60"/>
      <c r="AL60"/>
    </row>
    <row r="61" spans="1:43" s="7" customFormat="1" ht="17.100000000000001" customHeight="1">
      <c r="A61"/>
      <c r="B61" s="60" t="s">
        <v>536</v>
      </c>
      <c r="C61" s="60"/>
      <c r="D61" s="60"/>
      <c r="E61" s="60"/>
      <c r="F61" s="60"/>
      <c r="G61" s="60"/>
      <c r="H61" s="60"/>
      <c r="I61" s="60"/>
      <c r="J61" s="60"/>
      <c r="K61" s="60"/>
      <c r="L61" s="60"/>
      <c r="M61" s="60"/>
      <c r="N61" s="60"/>
      <c r="O61" s="60"/>
      <c r="P61" s="60"/>
      <c r="Q61" s="60"/>
      <c r="R61" s="60"/>
      <c r="S61" s="60"/>
      <c r="T61" s="60"/>
      <c r="U61" s="60"/>
      <c r="V61" s="59"/>
      <c r="W61" s="178"/>
      <c r="X61" s="126"/>
      <c r="Y61" s="126"/>
      <c r="Z61" s="126"/>
      <c r="AA61" s="126"/>
      <c r="AB61" s="126"/>
      <c r="AC61" s="126"/>
      <c r="AD61" s="126"/>
      <c r="AE61" s="126"/>
      <c r="AF61" s="126"/>
      <c r="AG61" s="126"/>
    </row>
    <row r="62" spans="1:43" ht="17.100000000000001" customHeight="1">
      <c r="A62" s="7"/>
      <c r="B62" s="714" t="s">
        <v>486</v>
      </c>
      <c r="C62" s="714"/>
      <c r="D62" s="714"/>
      <c r="E62" s="714"/>
      <c r="F62" s="714"/>
      <c r="G62" s="714"/>
      <c r="H62" s="714"/>
      <c r="I62" s="714"/>
      <c r="J62" s="714"/>
      <c r="K62" s="714"/>
      <c r="L62" s="714"/>
      <c r="M62" s="714"/>
      <c r="N62" s="714"/>
      <c r="O62" s="714"/>
      <c r="P62" s="714"/>
      <c r="Q62" s="714"/>
      <c r="R62" s="59"/>
      <c r="S62" s="715" t="s">
        <v>373</v>
      </c>
      <c r="T62" s="715"/>
      <c r="U62" s="715"/>
      <c r="V62" s="48"/>
      <c r="W62" s="311" t="b">
        <v>0</v>
      </c>
      <c r="X62" s="126"/>
      <c r="Y62" s="126"/>
      <c r="Z62" s="126"/>
      <c r="AA62" s="126"/>
      <c r="AB62" s="187"/>
      <c r="AC62" s="126"/>
      <c r="AD62" s="126"/>
      <c r="AE62" s="126"/>
      <c r="AF62" s="126"/>
      <c r="AG62" s="124"/>
      <c r="AH62" s="5"/>
      <c r="AI62" s="5"/>
      <c r="AJ62" s="7"/>
      <c r="AK62" s="7"/>
      <c r="AL62" s="7"/>
      <c r="AM62" s="7"/>
    </row>
    <row r="63" spans="1:43" ht="17.100000000000001" customHeight="1">
      <c r="A63" s="7"/>
      <c r="B63" s="203"/>
      <c r="C63" s="203"/>
      <c r="D63" s="203"/>
      <c r="E63" s="203"/>
      <c r="F63" s="203"/>
      <c r="G63" s="203"/>
      <c r="H63" s="203"/>
      <c r="I63" s="203"/>
      <c r="J63" s="203"/>
      <c r="K63" s="203"/>
      <c r="L63" s="203"/>
      <c r="M63" s="203"/>
      <c r="N63" s="203"/>
      <c r="O63" s="203"/>
      <c r="P63" s="203"/>
      <c r="Q63" s="202"/>
      <c r="R63" s="202"/>
      <c r="S63" s="202"/>
      <c r="T63" s="48"/>
      <c r="U63" s="48"/>
      <c r="V63" s="48"/>
      <c r="W63" s="311"/>
      <c r="X63" s="126"/>
      <c r="Y63" s="126"/>
      <c r="Z63" s="126"/>
      <c r="AA63" s="126"/>
      <c r="AB63" s="126"/>
      <c r="AC63" s="126"/>
      <c r="AD63" s="126"/>
      <c r="AE63" s="126"/>
      <c r="AF63" s="126"/>
      <c r="AG63" s="138"/>
      <c r="AH63" s="5"/>
      <c r="AI63" s="5"/>
      <c r="AJ63" s="7"/>
      <c r="AK63" s="7"/>
      <c r="AM63" s="7"/>
      <c r="AN63" s="7"/>
      <c r="AO63" s="7"/>
    </row>
    <row r="64" spans="1:43" ht="17.100000000000001" customHeight="1">
      <c r="B64" s="716" t="s">
        <v>332</v>
      </c>
      <c r="C64" s="716"/>
      <c r="D64" s="716"/>
      <c r="E64" s="716"/>
      <c r="F64" s="716"/>
      <c r="G64" s="716"/>
      <c r="H64" s="716"/>
      <c r="I64" s="716"/>
      <c r="J64" s="716"/>
      <c r="K64" s="716"/>
      <c r="L64" s="716"/>
      <c r="M64" s="716"/>
      <c r="N64" s="716"/>
      <c r="O64" s="716"/>
      <c r="P64" s="716"/>
      <c r="Q64" s="716"/>
      <c r="R64" s="716"/>
      <c r="S64" s="716"/>
      <c r="T64" s="716"/>
      <c r="U64" s="82"/>
      <c r="V64" s="48"/>
      <c r="W64" s="311"/>
      <c r="X64" s="126"/>
      <c r="Y64" s="126"/>
      <c r="Z64" s="126"/>
      <c r="AA64" s="126"/>
      <c r="AB64" s="126"/>
      <c r="AC64" s="126"/>
      <c r="AD64" s="126"/>
      <c r="AE64" s="126"/>
      <c r="AF64" s="126"/>
      <c r="AG64" s="138"/>
      <c r="AH64" s="5"/>
      <c r="AI64" s="5"/>
      <c r="AJ64" s="7"/>
      <c r="AK64" s="7"/>
      <c r="AL64" s="7"/>
    </row>
    <row r="65" spans="1:40" ht="17.100000000000001" customHeight="1">
      <c r="B65" s="44" t="s">
        <v>381</v>
      </c>
      <c r="C65" s="7"/>
      <c r="D65" s="7"/>
      <c r="E65" s="7"/>
      <c r="H65"/>
      <c r="I65" s="57" t="s">
        <v>373</v>
      </c>
      <c r="K65" s="4"/>
      <c r="L65" s="4"/>
      <c r="M65" s="4"/>
      <c r="N65" s="4"/>
      <c r="O65" s="4"/>
      <c r="P65" s="4"/>
      <c r="Q65" s="4"/>
      <c r="R65" s="4"/>
      <c r="S65" s="4"/>
      <c r="T65" s="4"/>
      <c r="U65" s="4"/>
      <c r="V65" s="82"/>
      <c r="W65" s="223"/>
      <c r="X65" s="126"/>
      <c r="Y65" s="126"/>
      <c r="Z65" s="126"/>
      <c r="AA65" s="126"/>
      <c r="AB65" s="126"/>
      <c r="AC65" s="126"/>
      <c r="AD65" s="126"/>
      <c r="AE65" s="126"/>
      <c r="AF65" s="126"/>
      <c r="AG65" s="138"/>
      <c r="AH65" s="11"/>
      <c r="AI65" s="5"/>
      <c r="AJ65" s="7"/>
      <c r="AK65" s="5"/>
      <c r="AL65" s="7"/>
    </row>
    <row r="66" spans="1:40" ht="17.100000000000001" customHeight="1" thickBot="1">
      <c r="A66" s="7"/>
      <c r="B66" s="717" t="s">
        <v>445</v>
      </c>
      <c r="C66" s="717"/>
      <c r="D66" s="717"/>
      <c r="E66" s="717"/>
      <c r="F66" s="717"/>
      <c r="G66" s="717"/>
      <c r="H66" s="717"/>
      <c r="I66" s="717"/>
      <c r="J66" s="717"/>
      <c r="K66" s="717"/>
      <c r="L66" s="717"/>
      <c r="M66" s="717"/>
      <c r="N66" s="717"/>
      <c r="O66" s="717"/>
      <c r="P66" s="717"/>
      <c r="Q66" s="717"/>
      <c r="R66" s="717"/>
      <c r="S66" s="717"/>
      <c r="T66" s="717"/>
      <c r="U66" s="228"/>
      <c r="V66" s="4"/>
      <c r="W66" s="224"/>
      <c r="X66" s="126"/>
      <c r="Y66" s="126"/>
      <c r="Z66" s="126"/>
      <c r="AA66" s="126"/>
      <c r="AB66" s="126"/>
      <c r="AC66" s="126"/>
      <c r="AD66" s="126"/>
      <c r="AE66" s="126"/>
      <c r="AF66" s="126"/>
      <c r="AG66" s="138"/>
      <c r="AH66" s="11"/>
      <c r="AI66" s="5"/>
      <c r="AJ66" s="5"/>
      <c r="AK66" s="5"/>
      <c r="AL66" s="7"/>
    </row>
    <row r="67" spans="1:40" ht="17.100000000000001" customHeight="1" thickBot="1">
      <c r="A67" s="49"/>
      <c r="B67" s="699" t="s">
        <v>259</v>
      </c>
      <c r="C67" s="718"/>
      <c r="D67" s="720" t="s">
        <v>201</v>
      </c>
      <c r="E67" s="721"/>
      <c r="F67" s="721"/>
      <c r="G67" s="721"/>
      <c r="H67" s="721"/>
      <c r="I67" s="721"/>
      <c r="J67" s="721"/>
      <c r="K67" s="721"/>
      <c r="L67" s="721"/>
      <c r="M67" s="721"/>
      <c r="N67" s="721"/>
      <c r="O67" s="721"/>
      <c r="P67" s="722"/>
      <c r="Q67" s="701" t="s">
        <v>200</v>
      </c>
      <c r="R67" s="723"/>
      <c r="S67" s="702"/>
      <c r="T67" s="702"/>
      <c r="U67" s="702"/>
      <c r="V67" s="703"/>
      <c r="W67" s="225"/>
      <c r="X67" s="169"/>
      <c r="Y67" s="126"/>
      <c r="Z67" s="126"/>
      <c r="AA67" s="126"/>
      <c r="AB67" s="126"/>
      <c r="AC67" s="126"/>
      <c r="AD67" s="126"/>
      <c r="AE67" s="126"/>
      <c r="AF67" s="126"/>
      <c r="AG67" s="138"/>
      <c r="AH67" s="5"/>
      <c r="AI67" s="5"/>
      <c r="AJ67" s="7"/>
      <c r="AL67" s="7"/>
    </row>
    <row r="68" spans="1:40" s="7" customFormat="1" ht="17.100000000000001" customHeight="1" thickBot="1">
      <c r="A68"/>
      <c r="B68" s="598"/>
      <c r="C68" s="719"/>
      <c r="D68" s="598" t="s">
        <v>226</v>
      </c>
      <c r="E68" s="599"/>
      <c r="F68" s="599"/>
      <c r="G68" s="599"/>
      <c r="H68" s="724"/>
      <c r="I68" s="725" t="s">
        <v>227</v>
      </c>
      <c r="J68" s="726"/>
      <c r="K68" s="727"/>
      <c r="L68" s="728" t="s">
        <v>258</v>
      </c>
      <c r="M68" s="729"/>
      <c r="N68" s="729"/>
      <c r="O68" s="729"/>
      <c r="P68" s="730"/>
      <c r="Q68" s="731" t="s">
        <v>487</v>
      </c>
      <c r="R68" s="732"/>
      <c r="S68" s="733"/>
      <c r="T68" s="734" t="s">
        <v>202</v>
      </c>
      <c r="U68" s="735"/>
      <c r="V68" s="736"/>
      <c r="W68" s="225"/>
      <c r="X68" s="169"/>
      <c r="Y68" s="188"/>
      <c r="Z68" s="189" t="s">
        <v>192</v>
      </c>
      <c r="AA68" s="190" t="s">
        <v>191</v>
      </c>
      <c r="AB68" s="191" t="s">
        <v>193</v>
      </c>
      <c r="AC68" s="191" t="s">
        <v>279</v>
      </c>
      <c r="AD68" s="192" t="s">
        <v>277</v>
      </c>
      <c r="AE68" s="177" t="s">
        <v>271</v>
      </c>
      <c r="AF68" s="126"/>
      <c r="AG68" s="138"/>
      <c r="AH68" s="5"/>
      <c r="AI68" s="5"/>
      <c r="AK68"/>
      <c r="AM68"/>
      <c r="AN68"/>
    </row>
    <row r="69" spans="1:40" s="7" customFormat="1" ht="17.100000000000001" customHeight="1">
      <c r="A69"/>
      <c r="B69" s="781" t="s">
        <v>23</v>
      </c>
      <c r="C69" s="63" t="s">
        <v>148</v>
      </c>
      <c r="D69" s="737"/>
      <c r="E69" s="738"/>
      <c r="F69" s="738"/>
      <c r="G69" s="738"/>
      <c r="H69" s="739"/>
      <c r="I69" s="740"/>
      <c r="J69" s="741"/>
      <c r="K69" s="742"/>
      <c r="L69" s="743"/>
      <c r="M69" s="738"/>
      <c r="N69" s="738"/>
      <c r="O69" s="738"/>
      <c r="P69" s="744"/>
      <c r="Q69" s="745" t="str">
        <f>IF($W$62=TRUE,IFERROR(VLOOKUP(D69&amp;I69&amp;L69,柱の圧縮基準強度!$A$4:$F$187,6,0),"該当なし"),"")</f>
        <v/>
      </c>
      <c r="R69" s="746"/>
      <c r="S69" s="747"/>
      <c r="T69" s="748" t="str">
        <f t="shared" ref="T69:T76" si="2">IF($W$62=TRUE,IF(AC69="","",MAX(AC69:AD69)),"")</f>
        <v/>
      </c>
      <c r="U69" s="749"/>
      <c r="V69" s="750"/>
      <c r="W69" s="225"/>
      <c r="X69" s="178"/>
      <c r="Y69" s="179" t="s">
        <v>167</v>
      </c>
      <c r="Z69" s="180">
        <f>$AD$55/52.7</f>
        <v>-1.9924098671726753</v>
      </c>
      <c r="AA69" s="181">
        <f>$AD$55/8.66</f>
        <v>-12.124711316397228</v>
      </c>
      <c r="AB69" s="181" t="e">
        <f>SQRT($Z$55*$AF$55/(1.1/3*Q69)*1000)</f>
        <v>#N/A</v>
      </c>
      <c r="AC69" s="181" t="str">
        <f>IFERROR(ROUNDUP(IF(Z69&gt;AB69,(12*($AD$55)^2/3000*AB69^2)^(1/4),IF(AA69&lt;AB69,AB69,$AD$55/75.05+SQRT(($AD$55/75.05)^2+AB69^2/1.3))),0),"")</f>
        <v/>
      </c>
      <c r="AD69" s="181">
        <f>ROUNDUP(SQRT(12)*$AD$55/150,0)</f>
        <v>-3</v>
      </c>
      <c r="AE69" s="339" t="str">
        <f t="shared" ref="AE69:AE76" si="3">IF($D69="JAS機械等級区分構造用製材","機械",IF($D69="JAS目視等級区分構造用製材", "目視",IF($D69="無等級材","無等級",IF($D69="JAS同一等級構成集成材","集成材","LVL"))))</f>
        <v>LVL</v>
      </c>
      <c r="AF69" s="126"/>
      <c r="AG69" s="138"/>
      <c r="AH69" s="5"/>
      <c r="AI69" s="5"/>
      <c r="AJ69" s="5"/>
      <c r="AK69"/>
      <c r="AM69"/>
      <c r="AN69"/>
    </row>
    <row r="70" spans="1:40" s="7" customFormat="1" ht="17.100000000000001" customHeight="1">
      <c r="A70"/>
      <c r="B70" s="782"/>
      <c r="C70" s="64" t="s">
        <v>149</v>
      </c>
      <c r="D70" s="751"/>
      <c r="E70" s="752"/>
      <c r="F70" s="752"/>
      <c r="G70" s="752"/>
      <c r="H70" s="753"/>
      <c r="I70" s="754"/>
      <c r="J70" s="755"/>
      <c r="K70" s="756"/>
      <c r="L70" s="783"/>
      <c r="M70" s="752"/>
      <c r="N70" s="752"/>
      <c r="O70" s="752"/>
      <c r="P70" s="784"/>
      <c r="Q70" s="772" t="str">
        <f>IF($W$62=TRUE,IFERROR(VLOOKUP(D70&amp;I70&amp;L70,柱の圧縮基準強度!$A$4:$F$187,6,0),"該当なし"),"")</f>
        <v/>
      </c>
      <c r="R70" s="773"/>
      <c r="S70" s="774"/>
      <c r="T70" s="775" t="str">
        <f t="shared" si="2"/>
        <v/>
      </c>
      <c r="U70" s="776"/>
      <c r="V70" s="777"/>
      <c r="W70" s="225"/>
      <c r="X70" s="178"/>
      <c r="Y70" s="193" t="s">
        <v>197</v>
      </c>
      <c r="Z70" s="194">
        <f>$AD$55/52.7</f>
        <v>-1.9924098671726753</v>
      </c>
      <c r="AA70" s="195">
        <f>$AD$55/8.66</f>
        <v>-12.124711316397228</v>
      </c>
      <c r="AB70" s="195" t="e">
        <f>SQRT($Z$55*$AF$55/(1.1/3*Q70)*1000)</f>
        <v>#N/A</v>
      </c>
      <c r="AC70" s="195" t="str">
        <f>IFERROR(ROUNDUP(IF(Z70&gt;AB70,(12*$AD$55^2/3000*AB70^2)^(1/4),IF(AA70&lt;AB70,AB70,$AD$55/75.05+SQRT(($AD$55/75.05)^2+AB70^2/1.3))),0),"")</f>
        <v/>
      </c>
      <c r="AD70" s="195">
        <f>ROUNDUP(SQRT(12)*$AD$55/150,0)</f>
        <v>-3</v>
      </c>
      <c r="AE70" s="339" t="str">
        <f t="shared" si="3"/>
        <v>LVL</v>
      </c>
      <c r="AF70" s="126"/>
      <c r="AG70" s="138"/>
      <c r="AH70"/>
      <c r="AI70" s="5"/>
      <c r="AJ70" s="5"/>
      <c r="AK70"/>
    </row>
    <row r="71" spans="1:40" s="7" customFormat="1" ht="17.100000000000001" customHeight="1">
      <c r="A71"/>
      <c r="B71" s="782"/>
      <c r="C71" s="64" t="s">
        <v>154</v>
      </c>
      <c r="D71" s="751"/>
      <c r="E71" s="752"/>
      <c r="F71" s="752"/>
      <c r="G71" s="752"/>
      <c r="H71" s="753"/>
      <c r="I71" s="754"/>
      <c r="J71" s="755"/>
      <c r="K71" s="756"/>
      <c r="L71" s="783"/>
      <c r="M71" s="752"/>
      <c r="N71" s="752"/>
      <c r="O71" s="752"/>
      <c r="P71" s="784"/>
      <c r="Q71" s="772" t="str">
        <f>IF($W$62=TRUE,IFERROR(VLOOKUP(D71&amp;I71&amp;L71,柱の圧縮基準強度!$A$4:$F$187,6,0),"該当なし"),"")</f>
        <v/>
      </c>
      <c r="R71" s="773"/>
      <c r="S71" s="774"/>
      <c r="T71" s="775" t="str">
        <f t="shared" si="2"/>
        <v/>
      </c>
      <c r="U71" s="776"/>
      <c r="V71" s="777"/>
      <c r="W71" s="225"/>
      <c r="X71" s="178"/>
      <c r="Y71" s="193" t="s">
        <v>199</v>
      </c>
      <c r="Z71" s="194">
        <f>$AD$55/52.7</f>
        <v>-1.9924098671726753</v>
      </c>
      <c r="AA71" s="195">
        <f>$AD$55/8.66</f>
        <v>-12.124711316397228</v>
      </c>
      <c r="AB71" s="195" t="e">
        <f>SQRT($Z$55*$AF$55/(1.1/3*Q71)*1000)</f>
        <v>#N/A</v>
      </c>
      <c r="AC71" s="195" t="str">
        <f>IFERROR(ROUNDUP(IF(Z71&gt;AB71,(12*($AD$55)^2/3000*AB71^2)^(1/4),IF(AA71&lt;AB71,AB71,$AD$55/75.05+SQRT(($AD$55/75.05)^2+AB71^2/1.3))),0),"")</f>
        <v/>
      </c>
      <c r="AD71" s="195">
        <f>ROUNDUP(SQRT(12)*$AD$55/150,0)</f>
        <v>-3</v>
      </c>
      <c r="AE71" s="339" t="str">
        <f t="shared" si="3"/>
        <v>LVL</v>
      </c>
      <c r="AF71" s="126"/>
      <c r="AG71" s="138"/>
      <c r="AH71" s="5"/>
      <c r="AI71" s="5"/>
      <c r="AJ71" s="5"/>
      <c r="AK71"/>
      <c r="AL71"/>
      <c r="AM71"/>
    </row>
    <row r="72" spans="1:40" s="7" customFormat="1" ht="17.100000000000001" customHeight="1" thickBot="1">
      <c r="A72"/>
      <c r="B72" s="782"/>
      <c r="C72" s="65" t="s">
        <v>155</v>
      </c>
      <c r="D72" s="757" t="s">
        <v>460</v>
      </c>
      <c r="E72" s="758"/>
      <c r="F72" s="758"/>
      <c r="G72" s="758"/>
      <c r="H72" s="758"/>
      <c r="I72" s="758"/>
      <c r="J72" s="758"/>
      <c r="K72" s="759"/>
      <c r="L72" s="760" t="s">
        <v>298</v>
      </c>
      <c r="M72" s="761"/>
      <c r="N72" s="761"/>
      <c r="O72" s="761"/>
      <c r="P72" s="762"/>
      <c r="Q72" s="766"/>
      <c r="R72" s="767"/>
      <c r="S72" s="768"/>
      <c r="T72" s="769" t="str">
        <f t="shared" si="2"/>
        <v/>
      </c>
      <c r="U72" s="770"/>
      <c r="V72" s="771"/>
      <c r="W72" s="225"/>
      <c r="X72" s="178"/>
      <c r="Y72" s="193" t="s">
        <v>288</v>
      </c>
      <c r="Z72" s="194">
        <f>$AD$55/52.7</f>
        <v>-1.9924098671726753</v>
      </c>
      <c r="AA72" s="195">
        <f>$AD$55/8.66</f>
        <v>-12.124711316397228</v>
      </c>
      <c r="AB72" s="195" t="e">
        <f>SQRT($Z$55*$AF$55/(1.1/3*Q72)*1000)</f>
        <v>#N/A</v>
      </c>
      <c r="AC72" s="195" t="str">
        <f>IFERROR(ROUNDUP(IF(Z72&gt;AB72,(12*$AD$55^2/3000*AB72^2)^(1/4),IF(AA72&lt;AB72,AB72,$AD$55/75.05+SQRT(($AD$55/75.05)^2+AB72^2/1.3))),0),"")</f>
        <v/>
      </c>
      <c r="AD72" s="195">
        <f>ROUNDUP(SQRT(12)*$AD$55/150,0)</f>
        <v>-3</v>
      </c>
      <c r="AE72" s="339" t="str">
        <f t="shared" si="3"/>
        <v>LVL</v>
      </c>
      <c r="AF72" s="126"/>
      <c r="AG72" s="138"/>
      <c r="AH72" s="5"/>
      <c r="AI72" s="5"/>
      <c r="AJ72" s="5"/>
      <c r="AK72"/>
      <c r="AL72"/>
    </row>
    <row r="73" spans="1:40" ht="17.100000000000001" customHeight="1">
      <c r="B73" s="699" t="s">
        <v>22</v>
      </c>
      <c r="C73" s="63" t="s">
        <v>148</v>
      </c>
      <c r="D73" s="737"/>
      <c r="E73" s="738"/>
      <c r="F73" s="738"/>
      <c r="G73" s="738"/>
      <c r="H73" s="739"/>
      <c r="I73" s="740"/>
      <c r="J73" s="741"/>
      <c r="K73" s="742"/>
      <c r="L73" s="743"/>
      <c r="M73" s="738"/>
      <c r="N73" s="738"/>
      <c r="O73" s="738"/>
      <c r="P73" s="744"/>
      <c r="Q73" s="778" t="str">
        <f>IF($W$62=TRUE,IFERROR(VLOOKUP(D73&amp;I73&amp;L73,柱の圧縮基準強度!$A$4:$F$187,6,0),"該当なし"),"")</f>
        <v/>
      </c>
      <c r="R73" s="779"/>
      <c r="S73" s="780"/>
      <c r="T73" s="748" t="str">
        <f t="shared" si="2"/>
        <v/>
      </c>
      <c r="U73" s="749"/>
      <c r="V73" s="750"/>
      <c r="W73" s="225"/>
      <c r="X73" s="178"/>
      <c r="Y73" s="193" t="s">
        <v>194</v>
      </c>
      <c r="Z73" s="194">
        <f>$AD$56/52.7</f>
        <v>-2.2770398481973433</v>
      </c>
      <c r="AA73" s="195">
        <f>$AD$56/8.66</f>
        <v>-13.856812933025404</v>
      </c>
      <c r="AB73" s="195" t="e">
        <f>SQRT($Z$56*$AF$55/(1.1/3*Q73)*1000)</f>
        <v>#N/A</v>
      </c>
      <c r="AC73" s="195" t="str">
        <f>IFERROR(ROUNDUP(IF(Z73&gt;AB73,(12*($AD$56)^2/3000*AB73^2)^(1/4),IF(AA73&lt;AB73,AB73,$AD$56/75.05+SQRT(($AD$56/75.05)^2+AB73^2/1.3))),0),"")</f>
        <v/>
      </c>
      <c r="AD73" s="195">
        <f>ROUNDUP(SQRT(12)*$AD$56/150,0)</f>
        <v>-3</v>
      </c>
      <c r="AE73" s="339" t="str">
        <f t="shared" si="3"/>
        <v>LVL</v>
      </c>
      <c r="AF73" s="126"/>
      <c r="AG73" s="124"/>
      <c r="AH73" s="5"/>
      <c r="AI73" s="5"/>
      <c r="AJ73" s="5"/>
      <c r="AM73" s="7"/>
      <c r="AN73" s="7"/>
    </row>
    <row r="74" spans="1:40" ht="17.100000000000001" customHeight="1">
      <c r="B74" s="596"/>
      <c r="C74" s="64" t="s">
        <v>149</v>
      </c>
      <c r="D74" s="751"/>
      <c r="E74" s="752"/>
      <c r="F74" s="752"/>
      <c r="G74" s="752"/>
      <c r="H74" s="753"/>
      <c r="I74" s="754"/>
      <c r="J74" s="755"/>
      <c r="K74" s="756"/>
      <c r="L74" s="783"/>
      <c r="M74" s="752"/>
      <c r="N74" s="752"/>
      <c r="O74" s="752"/>
      <c r="P74" s="784"/>
      <c r="Q74" s="772" t="str">
        <f>IF($W$62=TRUE,IFERROR(VLOOKUP(D74&amp;I74&amp;L74,柱の圧縮基準強度!$A$4:$F$187,6,0),"該当なし"),"")</f>
        <v/>
      </c>
      <c r="R74" s="773"/>
      <c r="S74" s="774"/>
      <c r="T74" s="775" t="str">
        <f t="shared" si="2"/>
        <v/>
      </c>
      <c r="U74" s="776"/>
      <c r="V74" s="777"/>
      <c r="W74" s="225"/>
      <c r="X74" s="178"/>
      <c r="Y74" s="193" t="s">
        <v>195</v>
      </c>
      <c r="Z74" s="194">
        <f>$AD$56/52.7</f>
        <v>-2.2770398481973433</v>
      </c>
      <c r="AA74" s="195">
        <f>$AD$56/8.66</f>
        <v>-13.856812933025404</v>
      </c>
      <c r="AB74" s="195" t="e">
        <f>SQRT($Z$56*$AF$55/(1.1/3*Q74)*1000)</f>
        <v>#N/A</v>
      </c>
      <c r="AC74" s="195" t="str">
        <f>IFERROR(ROUNDUP(IF(Z74&gt;AB74,(12*($AD$56)^2/3000*AB74^2)^(1/4),IF(AA74&lt;AB74,AB74,$AD$56/75.05+SQRT(($AD$56/75.05)^2+AB74^2/1.3))),0),"")</f>
        <v/>
      </c>
      <c r="AD74" s="195">
        <f>ROUNDUP(SQRT(12)*$AD$56/150,0)</f>
        <v>-3</v>
      </c>
      <c r="AE74" s="339" t="str">
        <f t="shared" si="3"/>
        <v>LVL</v>
      </c>
      <c r="AF74" s="126"/>
      <c r="AG74" s="124"/>
      <c r="AI74" s="5"/>
      <c r="AJ74" s="5"/>
      <c r="AM74" s="7"/>
      <c r="AN74" s="7"/>
    </row>
    <row r="75" spans="1:40" ht="17.100000000000001" customHeight="1">
      <c r="B75" s="596"/>
      <c r="C75" s="64" t="s">
        <v>154</v>
      </c>
      <c r="D75" s="751"/>
      <c r="E75" s="752"/>
      <c r="F75" s="752"/>
      <c r="G75" s="752"/>
      <c r="H75" s="753"/>
      <c r="I75" s="754"/>
      <c r="J75" s="755"/>
      <c r="K75" s="756"/>
      <c r="L75" s="783"/>
      <c r="M75" s="752"/>
      <c r="N75" s="752"/>
      <c r="O75" s="752"/>
      <c r="P75" s="784"/>
      <c r="Q75" s="772" t="str">
        <f>IF($W$62=TRUE,IFERROR(VLOOKUP(D75&amp;I75&amp;L75,柱の圧縮基準強度!$A$4:$F$187,6,0),"該当なし"),"")</f>
        <v/>
      </c>
      <c r="R75" s="773"/>
      <c r="S75" s="774"/>
      <c r="T75" s="775" t="str">
        <f t="shared" si="2"/>
        <v/>
      </c>
      <c r="U75" s="776"/>
      <c r="V75" s="777"/>
      <c r="W75" s="178"/>
      <c r="X75" s="178"/>
      <c r="Y75" s="193" t="s">
        <v>198</v>
      </c>
      <c r="Z75" s="194">
        <f>$AD$56/52.7</f>
        <v>-2.2770398481973433</v>
      </c>
      <c r="AA75" s="195">
        <f>$AD$56/8.66</f>
        <v>-13.856812933025404</v>
      </c>
      <c r="AB75" s="195" t="e">
        <f>SQRT($Z$56*$AF$55/(1.1/3*Q75)*1000)</f>
        <v>#N/A</v>
      </c>
      <c r="AC75" s="195" t="str">
        <f>IFERROR(ROUNDUP(IF(Z75&gt;AB75,(12*($AD$56)^2/3000*AB75^2)^(1/4),IF(AA75&lt;AB75,AB75,$AD$56/75.05+SQRT(($AD$56/75.05)^2+AB75^2/1.3))),0),"")</f>
        <v/>
      </c>
      <c r="AD75" s="195">
        <f>ROUNDUP(SQRT(12)*$AD$56/150,0)</f>
        <v>-3</v>
      </c>
      <c r="AE75" s="339" t="str">
        <f t="shared" si="3"/>
        <v>LVL</v>
      </c>
      <c r="AF75" s="126"/>
      <c r="AG75" s="124"/>
      <c r="AH75" s="5"/>
      <c r="AI75" s="5"/>
      <c r="AJ75" s="5"/>
      <c r="AM75" s="7"/>
      <c r="AN75" s="7"/>
    </row>
    <row r="76" spans="1:40" ht="17.100000000000001" customHeight="1" thickBot="1">
      <c r="B76" s="598"/>
      <c r="C76" s="66" t="s">
        <v>155</v>
      </c>
      <c r="D76" s="757" t="s">
        <v>460</v>
      </c>
      <c r="E76" s="758"/>
      <c r="F76" s="758"/>
      <c r="G76" s="758"/>
      <c r="H76" s="758"/>
      <c r="I76" s="758"/>
      <c r="J76" s="758"/>
      <c r="K76" s="759"/>
      <c r="L76" s="760" t="s">
        <v>298</v>
      </c>
      <c r="M76" s="761"/>
      <c r="N76" s="761"/>
      <c r="O76" s="761"/>
      <c r="P76" s="762"/>
      <c r="Q76" s="763"/>
      <c r="R76" s="764"/>
      <c r="S76" s="765"/>
      <c r="T76" s="769" t="str">
        <f t="shared" si="2"/>
        <v/>
      </c>
      <c r="U76" s="770"/>
      <c r="V76" s="771"/>
      <c r="W76" s="178"/>
      <c r="X76" s="178"/>
      <c r="Y76" s="196" t="s">
        <v>198</v>
      </c>
      <c r="Z76" s="197">
        <f>$AD$56/52.7</f>
        <v>-2.2770398481973433</v>
      </c>
      <c r="AA76" s="198">
        <f>$AD$56/8.66</f>
        <v>-13.856812933025404</v>
      </c>
      <c r="AB76" s="198" t="e">
        <f>SQRT($Z$56*$AF$55/(1.1/3*Q76)*1000)</f>
        <v>#N/A</v>
      </c>
      <c r="AC76" s="198" t="str">
        <f>IFERROR(ROUNDUP(IF(Z76&gt;AB76,(12*($AD$56)^2/3000*AB76^2)^(1/4),IF(AA76&lt;AB76,AB76,$AD$56/75.05+SQRT(($AD$56/75.05)^2+AB76^2/1.3))),0),"")</f>
        <v/>
      </c>
      <c r="AD76" s="198">
        <f>ROUNDUP(SQRT(12)*$AD$56/150,0)</f>
        <v>-3</v>
      </c>
      <c r="AE76" s="339" t="str">
        <f t="shared" si="3"/>
        <v>LVL</v>
      </c>
      <c r="AF76" s="126"/>
      <c r="AG76" s="124"/>
      <c r="AH76" s="5"/>
      <c r="AI76" s="5"/>
    </row>
    <row r="77" spans="1:40" ht="17.100000000000001" customHeight="1" thickBot="1">
      <c r="B77" s="61"/>
      <c r="C77" s="62"/>
      <c r="D77" s="62"/>
      <c r="E77" s="62"/>
      <c r="F77" s="62"/>
      <c r="G77" s="62"/>
      <c r="H77" s="62"/>
      <c r="I77" s="62"/>
      <c r="J77" s="62"/>
      <c r="K77" s="62"/>
      <c r="L77" s="62"/>
      <c r="M77" s="62"/>
      <c r="N77" s="62"/>
      <c r="O77" s="62"/>
      <c r="P77" s="62"/>
      <c r="Q77" s="62"/>
      <c r="R77" s="62"/>
      <c r="S77" s="62"/>
      <c r="T77" s="62"/>
      <c r="U77" s="62"/>
      <c r="V77" s="62"/>
      <c r="W77" s="199" t="b">
        <v>0</v>
      </c>
      <c r="X77" s="126"/>
      <c r="Y77" s="126"/>
      <c r="Z77" s="126"/>
      <c r="AA77" s="126"/>
      <c r="AB77" s="126"/>
      <c r="AC77" s="126"/>
      <c r="AD77" s="126"/>
      <c r="AE77" s="126"/>
      <c r="AF77" s="126"/>
      <c r="AG77" s="124"/>
      <c r="AH77" s="5"/>
      <c r="AI77" s="5"/>
    </row>
    <row r="78" spans="1:40" ht="17.100000000000001" customHeight="1" thickBot="1">
      <c r="B78" s="785" t="s">
        <v>333</v>
      </c>
      <c r="C78" s="785"/>
      <c r="D78" s="785"/>
      <c r="E78" s="785"/>
      <c r="F78" s="785"/>
      <c r="G78" s="785"/>
      <c r="H78" s="785"/>
      <c r="I78" s="785"/>
      <c r="J78" s="785"/>
      <c r="K78" s="785"/>
      <c r="L78" s="785"/>
      <c r="M78" s="785"/>
      <c r="N78" s="785"/>
      <c r="O78" s="785"/>
      <c r="P78" s="785"/>
      <c r="Q78" s="785"/>
      <c r="R78" s="785"/>
      <c r="S78" s="785"/>
      <c r="T78" s="785"/>
      <c r="U78" s="83"/>
      <c r="V78" s="83"/>
      <c r="W78" s="311"/>
      <c r="X78" s="313"/>
      <c r="Y78" s="314"/>
      <c r="Z78" s="189" t="s">
        <v>32</v>
      </c>
      <c r="AA78" s="315" t="s">
        <v>33</v>
      </c>
      <c r="AB78" s="315" t="s">
        <v>205</v>
      </c>
      <c r="AC78" s="316" t="s">
        <v>209</v>
      </c>
      <c r="AD78" s="126"/>
      <c r="AE78" s="126"/>
      <c r="AF78" s="126"/>
      <c r="AG78" s="124"/>
      <c r="AH78" s="5"/>
      <c r="AJ78" s="7"/>
      <c r="AK78" s="7"/>
    </row>
    <row r="79" spans="1:40" ht="17.100000000000001" customHeight="1">
      <c r="B79" s="44" t="s">
        <v>381</v>
      </c>
      <c r="C79" s="7"/>
      <c r="D79" s="7"/>
      <c r="E79" s="7"/>
      <c r="H79"/>
      <c r="I79" s="57" t="s">
        <v>373</v>
      </c>
      <c r="K79" s="4"/>
      <c r="L79" s="4"/>
      <c r="M79" s="4"/>
      <c r="N79" s="4"/>
      <c r="O79" s="4"/>
      <c r="P79" s="4"/>
      <c r="Q79" s="4"/>
      <c r="R79" s="4"/>
      <c r="S79" s="4"/>
      <c r="T79" s="4"/>
      <c r="U79" s="4"/>
      <c r="V79" s="4"/>
      <c r="W79" s="311"/>
      <c r="X79" s="788" t="s">
        <v>23</v>
      </c>
      <c r="Y79" s="144" t="s">
        <v>210</v>
      </c>
      <c r="Z79" s="214">
        <f>O85</f>
        <v>105</v>
      </c>
      <c r="AA79" s="340">
        <f>Q85</f>
        <v>120</v>
      </c>
      <c r="AB79" s="340">
        <f>MIN(S85:T85)</f>
        <v>0</v>
      </c>
      <c r="AC79" s="341">
        <f>MIN(U85:V85)</f>
        <v>0</v>
      </c>
      <c r="AD79" s="126"/>
      <c r="AE79" s="126"/>
      <c r="AF79" s="126"/>
      <c r="AG79" s="124"/>
      <c r="AH79" s="7"/>
      <c r="AI79" s="7"/>
      <c r="AJ79" s="7"/>
      <c r="AK79" s="7"/>
    </row>
    <row r="80" spans="1:40" ht="17.100000000000001" customHeight="1">
      <c r="A80" s="7"/>
      <c r="B80" t="s">
        <v>446</v>
      </c>
      <c r="C80" s="56"/>
      <c r="D80" s="56"/>
      <c r="E80" s="56"/>
      <c r="F80" s="7"/>
      <c r="H80"/>
      <c r="I80"/>
      <c r="S80"/>
      <c r="T80" s="67"/>
      <c r="U80" s="67"/>
      <c r="V80" s="67"/>
      <c r="W80" s="311"/>
      <c r="X80" s="789"/>
      <c r="Y80" s="148" t="s">
        <v>207</v>
      </c>
      <c r="Z80" s="215">
        <f>3.46*($H$15*1000-105)/Z79</f>
        <v>-3.46</v>
      </c>
      <c r="AA80" s="159">
        <f>3.46*($H$15*1000-105)/AA79</f>
        <v>-3.0275000000000003</v>
      </c>
      <c r="AB80" s="159" t="e">
        <f>3.46*($H$15*1000-105)/AB79</f>
        <v>#DIV/0!</v>
      </c>
      <c r="AC80" s="150" t="e">
        <f>3.46*($H$15*1000-105)/AC79</f>
        <v>#DIV/0!</v>
      </c>
      <c r="AD80" s="126"/>
      <c r="AE80" s="126"/>
      <c r="AF80" s="126"/>
      <c r="AG80" s="124"/>
      <c r="AH80" s="7"/>
      <c r="AI80" s="7"/>
      <c r="AJ80" s="5"/>
      <c r="AK80" s="5"/>
    </row>
    <row r="81" spans="1:37" ht="17.100000000000001" customHeight="1" thickBot="1">
      <c r="A81" s="7"/>
      <c r="B81" s="68" t="s">
        <v>280</v>
      </c>
      <c r="C81" s="56"/>
      <c r="D81" s="56"/>
      <c r="E81" s="56"/>
      <c r="F81" s="2"/>
      <c r="H81"/>
      <c r="I81"/>
      <c r="S81"/>
      <c r="T81" s="67"/>
      <c r="U81" s="67"/>
      <c r="V81" s="67"/>
      <c r="W81" s="323"/>
      <c r="X81" s="789"/>
      <c r="Y81" s="320" t="s">
        <v>208</v>
      </c>
      <c r="Z81" s="321">
        <f>IF(Z80&lt;=30,1,IF(Z80&gt;100,3000/(Z80)^2,1.3-0.01*Z80))</f>
        <v>1</v>
      </c>
      <c r="AA81" s="322">
        <f t="shared" ref="AA81" si="4">IF(AA80&lt;=30,1,IF(AA80&gt;100,3000/(AA80)^2,1.3-0.01*AA80))</f>
        <v>1</v>
      </c>
      <c r="AB81" s="322" t="e">
        <f>IF(AB80&lt;=30,1,IF(AB80&gt;100,3000/(AB80)^2,1.3-0.01*AB80))</f>
        <v>#DIV/0!</v>
      </c>
      <c r="AC81" s="156" t="e">
        <f>IF(AC80&lt;=30,1,IF(AC80&gt;100,3000/(AC80)^2,1.3-0.01*AC80))</f>
        <v>#DIV/0!</v>
      </c>
      <c r="AD81" s="126"/>
      <c r="AE81" s="126"/>
      <c r="AF81" s="126"/>
      <c r="AG81" s="126"/>
      <c r="AH81" s="5"/>
      <c r="AI81" s="5"/>
      <c r="AJ81" s="7"/>
      <c r="AK81" s="7"/>
    </row>
    <row r="82" spans="1:37" ht="17.100000000000001" customHeight="1" thickBot="1">
      <c r="B82" s="799" t="s">
        <v>259</v>
      </c>
      <c r="C82" s="800"/>
      <c r="D82" s="720" t="s">
        <v>201</v>
      </c>
      <c r="E82" s="721"/>
      <c r="F82" s="721"/>
      <c r="G82" s="721"/>
      <c r="H82" s="721"/>
      <c r="I82" s="721"/>
      <c r="J82" s="721"/>
      <c r="K82" s="721"/>
      <c r="L82" s="722"/>
      <c r="M82" s="720" t="s">
        <v>369</v>
      </c>
      <c r="N82" s="721"/>
      <c r="O82" s="721"/>
      <c r="P82" s="721"/>
      <c r="Q82" s="721"/>
      <c r="R82" s="721"/>
      <c r="S82" s="721"/>
      <c r="T82" s="721"/>
      <c r="U82" s="721"/>
      <c r="V82" s="722"/>
      <c r="W82" s="169"/>
      <c r="X82" s="790"/>
      <c r="Y82" s="324" t="s">
        <v>277</v>
      </c>
      <c r="Z82" s="216" t="str">
        <f>IF(($H$15-0.105)*1000/O85&lt;=43.3,"","有効細長比150以上")</f>
        <v/>
      </c>
      <c r="AA82" s="325" t="str">
        <f>IF(($H$15-0.105)*1000/Q85&lt;=43.3,"","有効細長比150以上")</f>
        <v/>
      </c>
      <c r="AB82" s="325" t="e">
        <f>IF(($H$15-0.105)*1000/MIN(S85:T85)&lt;=43.3,"","有効細長比150以上")</f>
        <v>#DIV/0!</v>
      </c>
      <c r="AC82" s="161" t="e">
        <f>IF(($H$15-0.105)*1000/MIN(U85:V85)&lt;=43.3,"","有効細長比150以上")</f>
        <v>#DIV/0!</v>
      </c>
      <c r="AD82" s="126"/>
      <c r="AE82" s="126"/>
      <c r="AF82" s="126"/>
      <c r="AG82" s="138"/>
      <c r="AH82" s="5"/>
      <c r="AI82" s="7"/>
      <c r="AJ82" s="7"/>
      <c r="AK82" s="7"/>
    </row>
    <row r="83" spans="1:37" ht="17.45" customHeight="1">
      <c r="B83" s="801"/>
      <c r="C83" s="802"/>
      <c r="D83" s="805" t="s">
        <v>226</v>
      </c>
      <c r="E83" s="806"/>
      <c r="F83" s="806"/>
      <c r="G83" s="807"/>
      <c r="H83" s="809" t="s">
        <v>196</v>
      </c>
      <c r="I83" s="810"/>
      <c r="J83" s="815" t="s">
        <v>47</v>
      </c>
      <c r="K83" s="806"/>
      <c r="L83" s="816"/>
      <c r="M83" s="820" t="s">
        <v>404</v>
      </c>
      <c r="N83" s="821"/>
      <c r="O83" s="826" t="s">
        <v>32</v>
      </c>
      <c r="P83" s="827"/>
      <c r="Q83" s="826" t="s">
        <v>33</v>
      </c>
      <c r="R83" s="827"/>
      <c r="S83" s="786" t="s">
        <v>205</v>
      </c>
      <c r="T83" s="786"/>
      <c r="U83" s="786" t="s">
        <v>206</v>
      </c>
      <c r="V83" s="787"/>
      <c r="W83" s="226"/>
      <c r="X83" s="788" t="s">
        <v>22</v>
      </c>
      <c r="Y83" s="317" t="s">
        <v>210</v>
      </c>
      <c r="Z83" s="274">
        <f>O85</f>
        <v>105</v>
      </c>
      <c r="AA83" s="318">
        <f>Q85</f>
        <v>120</v>
      </c>
      <c r="AB83" s="318">
        <f>MIN(S85:T85)</f>
        <v>0</v>
      </c>
      <c r="AC83" s="319">
        <f>MIN(U85:V85)</f>
        <v>0</v>
      </c>
      <c r="AD83" s="126"/>
      <c r="AE83" s="126"/>
      <c r="AF83" s="126"/>
      <c r="AG83" s="124"/>
      <c r="AH83" s="5"/>
      <c r="AI83" s="7"/>
      <c r="AJ83" s="7"/>
    </row>
    <row r="84" spans="1:37" ht="36.6" customHeight="1">
      <c r="B84" s="801"/>
      <c r="C84" s="802"/>
      <c r="D84" s="596"/>
      <c r="E84" s="597"/>
      <c r="F84" s="597"/>
      <c r="G84" s="808"/>
      <c r="H84" s="811"/>
      <c r="I84" s="812"/>
      <c r="J84" s="817"/>
      <c r="K84" s="597"/>
      <c r="L84" s="818"/>
      <c r="M84" s="822"/>
      <c r="N84" s="823"/>
      <c r="O84" s="791" t="s">
        <v>260</v>
      </c>
      <c r="P84" s="792"/>
      <c r="Q84" s="791" t="s">
        <v>260</v>
      </c>
      <c r="R84" s="792"/>
      <c r="S84" s="69" t="s">
        <v>203</v>
      </c>
      <c r="T84" s="69" t="s">
        <v>204</v>
      </c>
      <c r="U84" s="69" t="s">
        <v>203</v>
      </c>
      <c r="V84" s="70" t="s">
        <v>204</v>
      </c>
      <c r="W84" s="169"/>
      <c r="X84" s="789"/>
      <c r="Y84" s="148" t="s">
        <v>207</v>
      </c>
      <c r="Z84" s="215">
        <f>3.46*($H$16*1000-120)/Z83</f>
        <v>-3.9542857142857142</v>
      </c>
      <c r="AA84" s="159">
        <f>3.46*($H$16*1000-120)/AA83</f>
        <v>-3.46</v>
      </c>
      <c r="AB84" s="159" t="e">
        <f>3.46*($H$16*1000-120)/AB83</f>
        <v>#DIV/0!</v>
      </c>
      <c r="AC84" s="150" t="e">
        <f>3.46*($H$16*1000-120)/AC83</f>
        <v>#DIV/0!</v>
      </c>
      <c r="AD84" s="126"/>
      <c r="AE84" s="126"/>
      <c r="AF84" s="126"/>
      <c r="AG84" s="124"/>
      <c r="AH84" s="5"/>
      <c r="AI84" s="7"/>
    </row>
    <row r="85" spans="1:37" ht="18" customHeight="1" thickBot="1">
      <c r="B85" s="803"/>
      <c r="C85" s="804"/>
      <c r="D85" s="598"/>
      <c r="E85" s="599"/>
      <c r="F85" s="599"/>
      <c r="G85" s="724"/>
      <c r="H85" s="813"/>
      <c r="I85" s="814"/>
      <c r="J85" s="819"/>
      <c r="K85" s="599"/>
      <c r="L85" s="719"/>
      <c r="M85" s="824"/>
      <c r="N85" s="825"/>
      <c r="O85" s="793">
        <v>105</v>
      </c>
      <c r="P85" s="794"/>
      <c r="Q85" s="793">
        <v>120</v>
      </c>
      <c r="R85" s="794"/>
      <c r="S85" s="21"/>
      <c r="T85" s="21"/>
      <c r="U85" s="21"/>
      <c r="V85" s="22"/>
      <c r="W85" s="227"/>
      <c r="X85" s="789"/>
      <c r="Y85" s="320" t="s">
        <v>208</v>
      </c>
      <c r="Z85" s="321">
        <f>IF(Z84&lt;=30,1,IF(Z84&gt;100,3000/(Z84)^2,1.3-0.01*Z84))</f>
        <v>1</v>
      </c>
      <c r="AA85" s="322">
        <f t="shared" ref="AA85:AB85" si="5">IF(AA84&lt;=30,1,IF(AA84&gt;100,3000/(AA84)^2,1.3-0.01*AA84))</f>
        <v>1</v>
      </c>
      <c r="AB85" s="322" t="e">
        <f t="shared" si="5"/>
        <v>#DIV/0!</v>
      </c>
      <c r="AC85" s="156" t="e">
        <f>IF(AC84&lt;=30,1,IF(AC84&gt;100,3000/(AC84)^2,1.3-0.01*AC84))</f>
        <v>#DIV/0!</v>
      </c>
      <c r="AD85" s="126"/>
      <c r="AE85" s="126"/>
      <c r="AF85" s="126"/>
      <c r="AG85" s="124"/>
      <c r="AH85" s="5"/>
    </row>
    <row r="86" spans="1:37" ht="30" customHeight="1" thickBot="1">
      <c r="B86" s="828" t="s">
        <v>269</v>
      </c>
      <c r="C86" s="71" t="s">
        <v>148</v>
      </c>
      <c r="D86" s="831"/>
      <c r="E86" s="832"/>
      <c r="F86" s="832"/>
      <c r="G86" s="833"/>
      <c r="H86" s="834"/>
      <c r="I86" s="835"/>
      <c r="J86" s="859"/>
      <c r="K86" s="860"/>
      <c r="L86" s="861"/>
      <c r="M86" s="862" t="str">
        <f>IF($W$77=TRUE,IFERROR(VLOOKUP(D86&amp;H86&amp;J86,柱の圧縮基準強度!$A$4:$F$187,6,0),"該当なし"),"")</f>
        <v/>
      </c>
      <c r="N86" s="779"/>
      <c r="O86" s="795" t="str">
        <f t="shared" ref="O86:O96" si="6">IF($W$77=TRUE,Z88,"")</f>
        <v/>
      </c>
      <c r="P86" s="796"/>
      <c r="Q86" s="795" t="str">
        <f t="shared" ref="Q86:Q96" si="7">IF($W$77=TRUE,AA88,"")</f>
        <v/>
      </c>
      <c r="R86" s="796"/>
      <c r="S86" s="797" t="str">
        <f t="shared" ref="S86:S96" si="8">IFERROR(IF($W$77=TRUE,AB88,""),"")</f>
        <v/>
      </c>
      <c r="T86" s="797"/>
      <c r="U86" s="797" t="str">
        <f t="shared" ref="U86:U96" si="9">IFERROR(IF($W$77=TRUE,AC88,""),"")</f>
        <v/>
      </c>
      <c r="V86" s="798"/>
      <c r="W86" s="227"/>
      <c r="X86" s="790"/>
      <c r="Y86" s="324" t="s">
        <v>277</v>
      </c>
      <c r="Z86" s="216" t="str">
        <f>IF(($H$16-0.12)*1000/O85&lt;=43.3,"","有効細長比150以上")</f>
        <v/>
      </c>
      <c r="AA86" s="325" t="str">
        <f>IF(($H$16-0.12)*1000/Q85&lt;=43.3,"","有効細長比150以上")</f>
        <v/>
      </c>
      <c r="AB86" s="325" t="e">
        <f>IF(($H$16-0.12)*1000/MIN(S85:T85)&lt;=43.3,"","有効細長比150以上")</f>
        <v>#DIV/0!</v>
      </c>
      <c r="AC86" s="161" t="e">
        <f>IF(($H$16-0.12)*1000/MIN(U85:V85)&lt;=43.3,"","有効細長比150以上")</f>
        <v>#DIV/0!</v>
      </c>
      <c r="AD86" s="126"/>
      <c r="AE86" s="126"/>
      <c r="AF86" s="126"/>
      <c r="AG86" s="124"/>
      <c r="AH86" s="5"/>
    </row>
    <row r="87" spans="1:37" ht="30" customHeight="1" thickBot="1">
      <c r="B87" s="829"/>
      <c r="C87" s="42" t="s">
        <v>149</v>
      </c>
      <c r="D87" s="848"/>
      <c r="E87" s="849"/>
      <c r="F87" s="849"/>
      <c r="G87" s="850"/>
      <c r="H87" s="851"/>
      <c r="I87" s="852"/>
      <c r="J87" s="853"/>
      <c r="K87" s="854"/>
      <c r="L87" s="855"/>
      <c r="M87" s="856" t="str">
        <f>IF($W$77=TRUE,IFERROR(VLOOKUP(D87&amp;H87&amp;J87,柱の圧縮基準強度!$A$4:$F$187,6,0),"該当なし"),"")</f>
        <v/>
      </c>
      <c r="N87" s="773"/>
      <c r="O87" s="863" t="str">
        <f t="shared" si="6"/>
        <v/>
      </c>
      <c r="P87" s="864"/>
      <c r="Q87" s="863" t="str">
        <f t="shared" si="7"/>
        <v/>
      </c>
      <c r="R87" s="864"/>
      <c r="S87" s="865" t="str">
        <f t="shared" si="8"/>
        <v/>
      </c>
      <c r="T87" s="865"/>
      <c r="U87" s="865" t="str">
        <f t="shared" si="9"/>
        <v/>
      </c>
      <c r="V87" s="868"/>
      <c r="W87" s="227"/>
      <c r="X87" s="125"/>
      <c r="Y87" s="836" t="s">
        <v>289</v>
      </c>
      <c r="Z87" s="189" t="s">
        <v>32</v>
      </c>
      <c r="AA87" s="315" t="s">
        <v>33</v>
      </c>
      <c r="AB87" s="315" t="s">
        <v>205</v>
      </c>
      <c r="AC87" s="316" t="s">
        <v>209</v>
      </c>
      <c r="AD87" s="200" t="s">
        <v>271</v>
      </c>
      <c r="AE87" s="126"/>
      <c r="AF87" s="126"/>
      <c r="AG87" s="124"/>
      <c r="AH87" s="5"/>
    </row>
    <row r="88" spans="1:37" ht="30" customHeight="1" thickBot="1">
      <c r="B88" s="830"/>
      <c r="C88" s="72" t="s">
        <v>154</v>
      </c>
      <c r="D88" s="838" t="s">
        <v>460</v>
      </c>
      <c r="E88" s="839"/>
      <c r="F88" s="839"/>
      <c r="G88" s="839"/>
      <c r="H88" s="839"/>
      <c r="I88" s="840"/>
      <c r="J88" s="841" t="s">
        <v>299</v>
      </c>
      <c r="K88" s="842"/>
      <c r="L88" s="843"/>
      <c r="M88" s="844"/>
      <c r="N88" s="845"/>
      <c r="O88" s="846" t="str">
        <f t="shared" si="6"/>
        <v/>
      </c>
      <c r="P88" s="847"/>
      <c r="Q88" s="846" t="str">
        <f t="shared" si="7"/>
        <v/>
      </c>
      <c r="R88" s="847"/>
      <c r="S88" s="857" t="str">
        <f t="shared" si="8"/>
        <v/>
      </c>
      <c r="T88" s="857"/>
      <c r="U88" s="857" t="str">
        <f t="shared" si="9"/>
        <v/>
      </c>
      <c r="V88" s="858"/>
      <c r="W88" s="227"/>
      <c r="X88" s="125"/>
      <c r="Y88" s="837"/>
      <c r="Z88" s="342" t="str">
        <f>IF($Z82="",IFERROR(ROUNDDOWN(1.1/3*$Z81*$M86*O85*O85/$Z$55/1000,1),""),$Z82)</f>
        <v/>
      </c>
      <c r="AA88" s="318" t="str">
        <f>IF($AA82="",IFERROR(ROUNDDOWN(1.1/3*$AA81*$M86*Q85*Q85/$Z$55/1000,1),""),$AA82)</f>
        <v/>
      </c>
      <c r="AB88" s="275" t="e">
        <f>IF(AB82="",IFERROR(ROUNDDOWN(1.1/3*AB81*$M86*S85*T85/$Z$55/1000,1),""),AB82)</f>
        <v>#DIV/0!</v>
      </c>
      <c r="AC88" s="275" t="e">
        <f>IF(AC82="",IFERROR(ROUNDDOWN(1.1/3*AC81*$M86*U85*V85/$Z$55/1000,1),""),AC82)</f>
        <v>#DIV/0!</v>
      </c>
      <c r="AD88" s="366" t="str">
        <f>IF($D86="JAS機械等級区分構造用製材","機械",IF($D86="JAS目視等級区分構造用製材", "目視",IF($D86="無等級材","無等級",IF($D86="JAS同一等級構成集成材","集成材","LVL"))))</f>
        <v>LVL</v>
      </c>
      <c r="AE88" s="126"/>
      <c r="AF88" s="126"/>
      <c r="AG88" s="124"/>
      <c r="AH88" s="5"/>
    </row>
    <row r="89" spans="1:37" ht="30" customHeight="1">
      <c r="B89" s="829" t="s">
        <v>267</v>
      </c>
      <c r="C89" s="73" t="s">
        <v>148</v>
      </c>
      <c r="D89" s="831"/>
      <c r="E89" s="832"/>
      <c r="F89" s="832"/>
      <c r="G89" s="833"/>
      <c r="H89" s="834"/>
      <c r="I89" s="835"/>
      <c r="J89" s="869"/>
      <c r="K89" s="870"/>
      <c r="L89" s="871"/>
      <c r="M89" s="862" t="str">
        <f>IF($W$77=TRUE,IFERROR(VLOOKUP(D89&amp;H89&amp;J89,柱の圧縮基準強度!$A$4:$F$187,6,0),"該当なし"),"")</f>
        <v/>
      </c>
      <c r="N89" s="779"/>
      <c r="O89" s="795" t="str">
        <f t="shared" si="6"/>
        <v/>
      </c>
      <c r="P89" s="796"/>
      <c r="Q89" s="795" t="str">
        <f t="shared" si="7"/>
        <v/>
      </c>
      <c r="R89" s="796"/>
      <c r="S89" s="866" t="str">
        <f t="shared" si="8"/>
        <v/>
      </c>
      <c r="T89" s="866"/>
      <c r="U89" s="866" t="str">
        <f t="shared" si="9"/>
        <v/>
      </c>
      <c r="V89" s="867"/>
      <c r="W89" s="227"/>
      <c r="X89" s="125"/>
      <c r="Y89" s="125"/>
      <c r="Z89" s="343" t="str">
        <f>IF(Z82="",IFERROR(ROUNDDOWN(1.1/3*Z81*$M87*O85*O85/$Z$55/1000,1),""),Z82)</f>
        <v/>
      </c>
      <c r="AA89" s="344" t="str">
        <f>IF(AA82="",IFERROR(ROUNDDOWN(1.1/3*AA81*$M87*Q85*Q85/$Z$55/1000,1),""),AA82)</f>
        <v/>
      </c>
      <c r="AB89" s="159" t="e">
        <f>IF(AB82="",IFERROR(ROUNDDOWN(1.1/3*AB81*$M87*S85*T85/$Z$55/1000,1),""),AB82)</f>
        <v>#DIV/0!</v>
      </c>
      <c r="AC89" s="159" t="e">
        <f>IF(AC82="",IFERROR(ROUNDDOWN(1.1/3*AC81*$M87*U85*V85/$Z$55/1000,1),""),AC82)</f>
        <v>#DIV/0!</v>
      </c>
      <c r="AD89" s="312" t="str">
        <f t="shared" ref="AD89:AD99" si="10">IF($D87="JAS機械等級区分構造用製材","機械",IF($D87="JAS目視等級区分構造用製材", "目視",IF($D87="無等級材","無等級",IF($D87="JAS同一等級構成集成材","集成材","LVL"))))</f>
        <v>LVL</v>
      </c>
      <c r="AE89" s="126"/>
      <c r="AF89" s="126"/>
      <c r="AG89" s="124"/>
      <c r="AH89" s="5"/>
    </row>
    <row r="90" spans="1:37" ht="30" customHeight="1">
      <c r="B90" s="829"/>
      <c r="C90" s="42" t="s">
        <v>149</v>
      </c>
      <c r="D90" s="848"/>
      <c r="E90" s="849"/>
      <c r="F90" s="849"/>
      <c r="G90" s="850"/>
      <c r="H90" s="851"/>
      <c r="I90" s="852"/>
      <c r="J90" s="853"/>
      <c r="K90" s="854"/>
      <c r="L90" s="855"/>
      <c r="M90" s="856" t="str">
        <f>IF($W$77=TRUE,IFERROR(VLOOKUP(D90&amp;H90&amp;J90,柱の圧縮基準強度!$A$4:$F$187,6,0),"該当なし"),"")</f>
        <v/>
      </c>
      <c r="N90" s="773"/>
      <c r="O90" s="863" t="str">
        <f t="shared" si="6"/>
        <v/>
      </c>
      <c r="P90" s="864"/>
      <c r="Q90" s="863" t="str">
        <f t="shared" si="7"/>
        <v/>
      </c>
      <c r="R90" s="864"/>
      <c r="S90" s="865" t="str">
        <f t="shared" si="8"/>
        <v/>
      </c>
      <c r="T90" s="865"/>
      <c r="U90" s="865" t="str">
        <f t="shared" si="9"/>
        <v/>
      </c>
      <c r="V90" s="868"/>
      <c r="W90" s="227"/>
      <c r="X90" s="125"/>
      <c r="Y90" s="125"/>
      <c r="Z90" s="343" t="str">
        <f>IF(Z82="",IFERROR(ROUNDDOWN(1.1/3*Z81*$M88*O85*O85/$Z$55/1000,1),""),Z82)</f>
        <v/>
      </c>
      <c r="AA90" s="344" t="str">
        <f>IF(AA82="",IFERROR(ROUNDDOWN(1.1/3*AA81*$M88*Q85*Q85/$Z$55/1000,1),""),AA82)</f>
        <v/>
      </c>
      <c r="AB90" s="159" t="e">
        <f>IF(AB82="",IFERROR(ROUNDDOWN(1.1/3*AB81*$M88*S85*T85/$Z$55/1000,1),""),AB82)</f>
        <v>#DIV/0!</v>
      </c>
      <c r="AC90" s="159" t="e">
        <f>IF(AC82="",IFERROR(ROUNDDOWN(1.1/3*AC81*$M88*U85*V85/$Z$55/1000,1),""),AC82)</f>
        <v>#DIV/0!</v>
      </c>
      <c r="AD90" s="312" t="str">
        <f t="shared" si="10"/>
        <v>LVL</v>
      </c>
      <c r="AE90" s="126"/>
      <c r="AF90" s="126"/>
      <c r="AG90" s="124"/>
      <c r="AH90" s="5"/>
    </row>
    <row r="91" spans="1:37" ht="30" customHeight="1" thickBot="1">
      <c r="B91" s="830"/>
      <c r="C91" s="72" t="s">
        <v>154</v>
      </c>
      <c r="D91" s="838" t="s">
        <v>460</v>
      </c>
      <c r="E91" s="839"/>
      <c r="F91" s="839"/>
      <c r="G91" s="839"/>
      <c r="H91" s="839"/>
      <c r="I91" s="840"/>
      <c r="J91" s="841" t="s">
        <v>299</v>
      </c>
      <c r="K91" s="842"/>
      <c r="L91" s="843"/>
      <c r="M91" s="844"/>
      <c r="N91" s="845"/>
      <c r="O91" s="846" t="str">
        <f t="shared" si="6"/>
        <v/>
      </c>
      <c r="P91" s="847"/>
      <c r="Q91" s="846" t="str">
        <f t="shared" si="7"/>
        <v/>
      </c>
      <c r="R91" s="847"/>
      <c r="S91" s="872" t="str">
        <f t="shared" si="8"/>
        <v/>
      </c>
      <c r="T91" s="872"/>
      <c r="U91" s="872" t="str">
        <f t="shared" si="9"/>
        <v/>
      </c>
      <c r="V91" s="873"/>
      <c r="W91" s="227"/>
      <c r="X91" s="243"/>
      <c r="Y91" s="126"/>
      <c r="Z91" s="215" t="str">
        <f>IF(Z82="",IFERROR(ROUNDDOWN(1.1/3*Z81*$M89*O85*O85/$AA$55/1000,1),""),Z82)</f>
        <v/>
      </c>
      <c r="AA91" s="159" t="str">
        <f>IF(AA82="",IFERROR(ROUNDDOWN(1.1/3*AA81*$M89*Q85*Q85/$AA$55/1000,1),""),AA82)</f>
        <v/>
      </c>
      <c r="AB91" s="159" t="e">
        <f>IF(AB82="",IFERROR(ROUNDDOWN(1.1/3*AB81*$M89*S85*T85/$AA$55/1000,1),""),AB82)</f>
        <v>#DIV/0!</v>
      </c>
      <c r="AC91" s="159" t="e">
        <f>IF(AC82="",IFERROR(ROUNDDOWN(1.1/3*AC81*$M89*U85*V85/$AA$55/1000,1),""),AC82)</f>
        <v>#DIV/0!</v>
      </c>
      <c r="AD91" s="312" t="str">
        <f t="shared" si="10"/>
        <v>LVL</v>
      </c>
      <c r="AE91" s="126"/>
      <c r="AF91" s="126"/>
      <c r="AG91" s="124"/>
      <c r="AH91" s="5"/>
    </row>
    <row r="92" spans="1:37" ht="30" customHeight="1" thickBot="1">
      <c r="B92" s="828" t="s">
        <v>270</v>
      </c>
      <c r="C92" s="71" t="s">
        <v>148</v>
      </c>
      <c r="D92" s="831"/>
      <c r="E92" s="832"/>
      <c r="F92" s="832"/>
      <c r="G92" s="833"/>
      <c r="H92" s="834"/>
      <c r="I92" s="835"/>
      <c r="J92" s="869"/>
      <c r="K92" s="870"/>
      <c r="L92" s="871"/>
      <c r="M92" s="862" t="str">
        <f>IF($W$77=TRUE,IFERROR(VLOOKUP(D92&amp;H92&amp;J92,柱の圧縮基準強度!$A$4:$F$187,6,0),"該当なし"),"")</f>
        <v/>
      </c>
      <c r="N92" s="779"/>
      <c r="O92" s="795" t="str">
        <f t="shared" si="6"/>
        <v/>
      </c>
      <c r="P92" s="796"/>
      <c r="Q92" s="795" t="str">
        <f t="shared" si="7"/>
        <v/>
      </c>
      <c r="R92" s="796"/>
      <c r="S92" s="797" t="str">
        <f t="shared" si="8"/>
        <v/>
      </c>
      <c r="T92" s="797"/>
      <c r="U92" s="797" t="str">
        <f t="shared" si="9"/>
        <v/>
      </c>
      <c r="V92" s="798"/>
      <c r="W92" s="227"/>
      <c r="X92" s="126"/>
      <c r="Y92" s="126"/>
      <c r="Z92" s="216" t="str">
        <f>IF(Z82="",IFERROR(ROUNDDOWN(1.1/3*Z81*$M90*O85*O85/$AA$55/1000,1),""),Z82)</f>
        <v/>
      </c>
      <c r="AA92" s="325" t="str">
        <f>IF(AA82="",IFERROR(ROUNDDOWN(1.1/3*AA81*$M90*Q85*Q85/$AA$55/1000,1),""),AA82)</f>
        <v/>
      </c>
      <c r="AB92" s="325" t="e">
        <f>IF(AB82="",IFERROR(ROUNDDOWN(1.1/3*AB81*$M90*S85*T85/$AA$55/1000,1),""),AB82)</f>
        <v>#DIV/0!</v>
      </c>
      <c r="AC92" s="325" t="e">
        <f>IF(AC82="",IFERROR(ROUNDDOWN(1.1/3*AC81*$M90*U85*V85/$AA$55/1000,1),""),AC82)</f>
        <v>#DIV/0!</v>
      </c>
      <c r="AD92" s="312" t="str">
        <f t="shared" si="10"/>
        <v>LVL</v>
      </c>
      <c r="AE92" s="126"/>
      <c r="AF92" s="126"/>
      <c r="AG92" s="124"/>
      <c r="AH92" s="5"/>
    </row>
    <row r="93" spans="1:37" ht="30" customHeight="1" thickBot="1">
      <c r="B93" s="829"/>
      <c r="C93" s="42" t="s">
        <v>149</v>
      </c>
      <c r="D93" s="848"/>
      <c r="E93" s="849"/>
      <c r="F93" s="849"/>
      <c r="G93" s="850"/>
      <c r="H93" s="851"/>
      <c r="I93" s="852"/>
      <c r="J93" s="853"/>
      <c r="K93" s="854"/>
      <c r="L93" s="855"/>
      <c r="M93" s="856" t="str">
        <f>IF($W$77=TRUE,IFERROR(VLOOKUP(D93&amp;H93&amp;J93,柱の圧縮基準強度!$A$4:$F$187,6,0),"該当なし"),"")</f>
        <v/>
      </c>
      <c r="N93" s="773"/>
      <c r="O93" s="863" t="str">
        <f t="shared" si="6"/>
        <v/>
      </c>
      <c r="P93" s="864"/>
      <c r="Q93" s="863" t="str">
        <f t="shared" si="7"/>
        <v/>
      </c>
      <c r="R93" s="864"/>
      <c r="S93" s="865" t="str">
        <f t="shared" si="8"/>
        <v/>
      </c>
      <c r="T93" s="865"/>
      <c r="U93" s="865" t="str">
        <f t="shared" si="9"/>
        <v/>
      </c>
      <c r="V93" s="868"/>
      <c r="W93" s="227"/>
      <c r="X93" s="126"/>
      <c r="Y93" s="126"/>
      <c r="Z93" s="216" t="str">
        <f>IF(Z82="",IFERROR(ROUNDDOWN(1.1/3*Z81*$M91*O85*O85/$AA$55/1000,1),""),Z82)</f>
        <v/>
      </c>
      <c r="AA93" s="325" t="str">
        <f>IF(AA82="",IFERROR(ROUNDDOWN(1.1/3*AA81*$M91*Q85*Q85/$AA$55/1000,1),""),AA82)</f>
        <v/>
      </c>
      <c r="AB93" s="325" t="e">
        <f>IF(AB82="",IFERROR(ROUNDDOWN(1.1/3*AB81*$M91*S85*T85/$AA$55/1000,1),""),AB82)</f>
        <v>#DIV/0!</v>
      </c>
      <c r="AC93" s="325" t="e">
        <f>IF(AC82="",IFERROR(ROUNDDOWN(1.1/3*AC81*$M91*U85*V85/$AA$55/1000,1),""),AC82)</f>
        <v>#DIV/0!</v>
      </c>
      <c r="AD93" s="312" t="str">
        <f t="shared" si="10"/>
        <v>LVL</v>
      </c>
      <c r="AE93" s="126"/>
      <c r="AF93" s="126"/>
      <c r="AG93" s="124"/>
      <c r="AH93" s="5"/>
    </row>
    <row r="94" spans="1:37" ht="30" customHeight="1" thickBot="1">
      <c r="B94" s="830"/>
      <c r="C94" s="72" t="s">
        <v>154</v>
      </c>
      <c r="D94" s="838" t="s">
        <v>460</v>
      </c>
      <c r="E94" s="839"/>
      <c r="F94" s="839"/>
      <c r="G94" s="839"/>
      <c r="H94" s="839"/>
      <c r="I94" s="840"/>
      <c r="J94" s="841" t="s">
        <v>299</v>
      </c>
      <c r="K94" s="842"/>
      <c r="L94" s="843"/>
      <c r="M94" s="844"/>
      <c r="N94" s="845"/>
      <c r="O94" s="846" t="str">
        <f t="shared" si="6"/>
        <v/>
      </c>
      <c r="P94" s="847"/>
      <c r="Q94" s="846" t="str">
        <f t="shared" si="7"/>
        <v/>
      </c>
      <c r="R94" s="847"/>
      <c r="S94" s="874" t="str">
        <f t="shared" si="8"/>
        <v/>
      </c>
      <c r="T94" s="874"/>
      <c r="U94" s="874" t="str">
        <f t="shared" si="9"/>
        <v/>
      </c>
      <c r="V94" s="875"/>
      <c r="W94" s="227"/>
      <c r="X94" s="126"/>
      <c r="Y94" s="126"/>
      <c r="Z94" s="214" t="str">
        <f>IF(Z86="",IFERROR(ROUNDDOWN(1.1/3*Z85*$M92*O85*O85/$Z$56/1000,1),""),Z86)</f>
        <v/>
      </c>
      <c r="AA94" s="326" t="str">
        <f>IF(AA86="",IFERROR(ROUNDDOWN(1.1/3*AA85*$M92*Q85*Q85/$Z$56/1000,1),""),AA86)</f>
        <v/>
      </c>
      <c r="AB94" s="326" t="e">
        <f>IF(AB86="",IFERROR(ROUNDDOWN(1.1/3*AB85*$M92*S85*T85/$Z$56/1000,1),""),AB86)</f>
        <v>#DIV/0!</v>
      </c>
      <c r="AC94" s="326" t="e">
        <f>IF(AC86="",IFERROR(ROUNDDOWN(1.1/3*AC85*$M92*U85*V85/$Z$56/1000,1),""),AC86)</f>
        <v>#DIV/0!</v>
      </c>
      <c r="AD94" s="312" t="str">
        <f t="shared" si="10"/>
        <v>LVL</v>
      </c>
      <c r="AE94" s="126"/>
      <c r="AF94" s="126"/>
      <c r="AG94" s="124"/>
      <c r="AH94" s="5"/>
    </row>
    <row r="95" spans="1:37" ht="30" customHeight="1">
      <c r="B95" s="828" t="s">
        <v>268</v>
      </c>
      <c r="C95" s="71" t="s">
        <v>148</v>
      </c>
      <c r="D95" s="831"/>
      <c r="E95" s="832"/>
      <c r="F95" s="832"/>
      <c r="G95" s="833"/>
      <c r="H95" s="834"/>
      <c r="I95" s="835"/>
      <c r="J95" s="869"/>
      <c r="K95" s="870"/>
      <c r="L95" s="871"/>
      <c r="M95" s="862" t="str">
        <f>IF($W$77=TRUE,IFERROR(VLOOKUP(D95&amp;H95&amp;J95,柱の圧縮基準強度!$A$4:$F$187,6,0),"該当なし"),"")</f>
        <v/>
      </c>
      <c r="N95" s="779"/>
      <c r="O95" s="795" t="str">
        <f t="shared" si="6"/>
        <v/>
      </c>
      <c r="P95" s="796"/>
      <c r="Q95" s="795" t="str">
        <f t="shared" si="7"/>
        <v/>
      </c>
      <c r="R95" s="796"/>
      <c r="S95" s="797" t="str">
        <f t="shared" si="8"/>
        <v/>
      </c>
      <c r="T95" s="797"/>
      <c r="U95" s="797" t="str">
        <f t="shared" si="9"/>
        <v/>
      </c>
      <c r="V95" s="798"/>
      <c r="W95" s="227"/>
      <c r="X95" s="126"/>
      <c r="Y95" s="126"/>
      <c r="Z95" s="215" t="str">
        <f>IF(Z86="",IFERROR(ROUNDDOWN(1.1/3*Z85*$M93*O85*O85/$Z$56/1000,1),""),Z86)</f>
        <v/>
      </c>
      <c r="AA95" s="159" t="str">
        <f>IF(AA86="",IFERROR(ROUNDDOWN(1.1/3*AA85*$M93*Q85*Q85/$Z$56/1000,1),""),AA86)</f>
        <v/>
      </c>
      <c r="AB95" s="159" t="e">
        <f>IF(AB86="",IFERROR(ROUNDDOWN(1.1/3*AB85*$M93*S85*T85/$Z$56/1000,1),""),AB86)</f>
        <v>#DIV/0!</v>
      </c>
      <c r="AC95" s="159" t="e">
        <f>IF(AC86="",IFERROR(ROUNDDOWN(1.1/3*AC85*$M93*U85*V85/$Z$56/1000,1),""),AC86)</f>
        <v>#DIV/0!</v>
      </c>
      <c r="AD95" s="312" t="str">
        <f t="shared" si="10"/>
        <v>LVL</v>
      </c>
      <c r="AE95" s="126"/>
      <c r="AF95" s="126"/>
      <c r="AG95" s="124"/>
      <c r="AH95" s="5"/>
    </row>
    <row r="96" spans="1:37" ht="30" customHeight="1">
      <c r="B96" s="829"/>
      <c r="C96" s="42" t="s">
        <v>149</v>
      </c>
      <c r="D96" s="848"/>
      <c r="E96" s="849"/>
      <c r="F96" s="849"/>
      <c r="G96" s="850"/>
      <c r="H96" s="851"/>
      <c r="I96" s="852"/>
      <c r="J96" s="853"/>
      <c r="K96" s="854"/>
      <c r="L96" s="855"/>
      <c r="M96" s="856" t="str">
        <f>IF($W$77=TRUE,IFERROR(VLOOKUP(D96&amp;H96&amp;J96,柱の圧縮基準強度!$A$4:$F$187,6,0),"該当なし"),"")</f>
        <v/>
      </c>
      <c r="N96" s="773"/>
      <c r="O96" s="863" t="str">
        <f t="shared" si="6"/>
        <v/>
      </c>
      <c r="P96" s="864"/>
      <c r="Q96" s="863" t="str">
        <f t="shared" si="7"/>
        <v/>
      </c>
      <c r="R96" s="864"/>
      <c r="S96" s="865" t="str">
        <f t="shared" si="8"/>
        <v/>
      </c>
      <c r="T96" s="865"/>
      <c r="U96" s="865" t="str">
        <f t="shared" si="9"/>
        <v/>
      </c>
      <c r="V96" s="868"/>
      <c r="W96" s="201"/>
      <c r="X96" s="126"/>
      <c r="Y96" s="126"/>
      <c r="Z96" s="215" t="str">
        <f>IF(Z86="",IFERROR(ROUNDDOWN(1.1/3*Z85*$M94*O85*O85/$Z$56/1000,1),""),Z86)</f>
        <v/>
      </c>
      <c r="AA96" s="159" t="str">
        <f>IF(AA86="",IFERROR(ROUNDDOWN(1.1/3*AA85*$M94*Q85*Q85/$Z$56/1000,1),""),AA86)</f>
        <v/>
      </c>
      <c r="AB96" s="159" t="e">
        <f>IF(AB86="",IFERROR(ROUNDDOWN(1.1/3*AB85*$M94*S85*T85/$Z$56/1000,1),""),AB86)</f>
        <v>#DIV/0!</v>
      </c>
      <c r="AC96" s="159" t="e">
        <f>IF(AC86="",IFERROR(ROUNDDOWN(1.1/3*AC85*$M94*U85*V85/$Z$56/1000,1),""),AC86)</f>
        <v>#DIV/0!</v>
      </c>
      <c r="AD96" s="312" t="str">
        <f t="shared" si="10"/>
        <v>LVL</v>
      </c>
      <c r="AE96" s="126"/>
      <c r="AF96" s="126"/>
      <c r="AG96" s="124"/>
      <c r="AH96" s="5"/>
    </row>
    <row r="97" spans="2:33" ht="30" customHeight="1" thickBot="1">
      <c r="B97" s="830"/>
      <c r="C97" s="72" t="s">
        <v>154</v>
      </c>
      <c r="D97" s="838" t="s">
        <v>460</v>
      </c>
      <c r="E97" s="839"/>
      <c r="F97" s="839"/>
      <c r="G97" s="839"/>
      <c r="H97" s="839"/>
      <c r="I97" s="840"/>
      <c r="J97" s="841" t="s">
        <v>299</v>
      </c>
      <c r="K97" s="842"/>
      <c r="L97" s="843"/>
      <c r="M97" s="844"/>
      <c r="N97" s="845"/>
      <c r="O97" s="846" t="str">
        <f t="shared" ref="O97" si="11">IF($W$77=TRUE,Z99,"")</f>
        <v/>
      </c>
      <c r="P97" s="847"/>
      <c r="Q97" s="846" t="str">
        <f t="shared" ref="Q97" si="12">IF($W$77=TRUE,AA99,"")</f>
        <v/>
      </c>
      <c r="R97" s="847"/>
      <c r="S97" s="874" t="str">
        <f t="shared" ref="S97" si="13">IFERROR(IF($W$77=TRUE,AB99,""),"")</f>
        <v/>
      </c>
      <c r="T97" s="874"/>
      <c r="U97" s="874" t="str">
        <f t="shared" ref="U97" si="14">IFERROR(IF($W$77=TRUE,AC99,""),"")</f>
        <v/>
      </c>
      <c r="V97" s="875"/>
      <c r="W97" s="201"/>
      <c r="X97" s="126"/>
      <c r="Y97" s="126"/>
      <c r="Z97" s="215" t="str">
        <f>IF(Z86="",IFERROR(ROUNDDOWN(1.1/3*Z85*$M95*O85*O85/$AA$56/1000,1),""),Z86)</f>
        <v/>
      </c>
      <c r="AA97" s="159" t="str">
        <f>IF(AA86="",IFERROR(ROUNDDOWN(1.1/3*AA85*$M95*Q85*Q85/$AA$56/1000,1),""),AA86)</f>
        <v/>
      </c>
      <c r="AB97" s="159" t="e">
        <f>IF(AB86="",IFERROR(ROUNDDOWN(1.1/3*AB85*$M95*S85*T85/$AA$56/1000,1),""),AB86)</f>
        <v>#DIV/0!</v>
      </c>
      <c r="AC97" s="159" t="e">
        <f>IF(AC86="",IFERROR(ROUNDDOWN(1.1/3*AC85*$M95*U85*V85/$AA$56/1000,1),""),AC86)</f>
        <v>#DIV/0!</v>
      </c>
      <c r="AD97" s="312" t="str">
        <f t="shared" si="10"/>
        <v>LVL</v>
      </c>
      <c r="AE97" s="126"/>
      <c r="AF97" s="126"/>
      <c r="AG97" s="124"/>
    </row>
    <row r="98" spans="2:33" ht="20.100000000000001" customHeight="1" thickBot="1">
      <c r="B98" s="7" t="s">
        <v>286</v>
      </c>
      <c r="V98" s="349"/>
      <c r="W98" s="126"/>
      <c r="X98" s="126"/>
      <c r="Y98" s="126"/>
      <c r="Z98" s="216" t="str">
        <f>IF(Z86="",IFERROR(ROUNDDOWN(1.1/3*Z85*$M96*O85*O85/$AA$56/1000,1),""),Z86)</f>
        <v/>
      </c>
      <c r="AA98" s="325" t="str">
        <f>IF(AA86="",IFERROR(ROUNDDOWN(1.1/3*AA85*$M96*Q85*Q85/$AA$56/1000,1),""),AA86)</f>
        <v/>
      </c>
      <c r="AB98" s="325" t="e">
        <f>IF(AB86="",IFERROR(ROUNDDOWN(1.1/3*AB85*$M96*S85*T85/$AA$56/1000,1),""),AB86)</f>
        <v>#DIV/0!</v>
      </c>
      <c r="AC98" s="325" t="e">
        <f>IF(AC86="",IFERROR(ROUNDDOWN(1.1/3*AC85*$M96*U85*V85/$AA$56/1000,1),""),AC86)</f>
        <v>#DIV/0!</v>
      </c>
      <c r="AD98" s="312" t="str">
        <f t="shared" si="10"/>
        <v>LVL</v>
      </c>
      <c r="AE98" s="126"/>
      <c r="AF98" s="126"/>
      <c r="AG98" s="124"/>
    </row>
    <row r="99" spans="2:33" ht="20.100000000000001" customHeight="1" thickBot="1">
      <c r="T99" s="74"/>
      <c r="U99" s="74"/>
      <c r="W99" s="126"/>
      <c r="X99" s="126"/>
      <c r="Y99" s="126"/>
      <c r="Z99" s="216" t="str">
        <f>IF(Z86="",IFERROR(ROUNDDOWN(1.1/3*Z85*$M97*O85*O85/$AA$56/1000,1),""),Z86)</f>
        <v/>
      </c>
      <c r="AA99" s="325" t="str">
        <f>IF(AA86="",IFERROR(ROUNDDOWN(1.1/3*AA85*$M97*Q85*Q85/$AA$56/1000,1),""),AA86)</f>
        <v/>
      </c>
      <c r="AB99" s="325" t="e">
        <f>IF(AB86="",IFERROR(ROUNDDOWN(1.1/3*AB85*$M97*S85*T85/$AA$56/1000,1),""),AB86)</f>
        <v>#DIV/0!</v>
      </c>
      <c r="AC99" s="325" t="e">
        <f>IF(AC86="",IFERROR(ROUNDDOWN(1.1/3*AC85*$M97*U85*V85/$AA$56/1000,1),""),AC86)</f>
        <v>#DIV/0!</v>
      </c>
      <c r="AD99" s="312" t="str">
        <f t="shared" si="10"/>
        <v>LVL</v>
      </c>
      <c r="AE99" s="126"/>
      <c r="AF99" s="126"/>
      <c r="AG99" s="139"/>
    </row>
    <row r="100" spans="2:33">
      <c r="T100" s="74"/>
      <c r="U100" s="38"/>
      <c r="V100" s="20"/>
    </row>
    <row r="101" spans="2:33">
      <c r="U101" s="38"/>
      <c r="V101" s="20"/>
    </row>
    <row r="102" spans="2:33">
      <c r="U102" s="19"/>
    </row>
    <row r="103" spans="2:33">
      <c r="U103" s="19"/>
      <c r="V103" s="15"/>
    </row>
    <row r="104" spans="2:33">
      <c r="U104" s="19"/>
      <c r="V104" s="15"/>
    </row>
    <row r="105" spans="2:33">
      <c r="U105" s="19"/>
      <c r="V105" s="14"/>
    </row>
    <row r="106" spans="2:33">
      <c r="U106" s="19"/>
    </row>
    <row r="109" spans="2:33">
      <c r="V109" s="17"/>
    </row>
  </sheetData>
  <sheetProtection algorithmName="SHA-512" hashValue="wFb/mek0OEMEihubFbcK+jrgOlHLGtjkPXR7K8mluIp9oBxtpkPOrVrVgyKbiQ4j3cKv6K6mZMARJv9tF3oeBA==" saltValue="t4aKnPMpqAVKEI8+rKSrqw==" spinCount="100000" sheet="1" objects="1" scenarios="1"/>
  <mergeCells count="354">
    <mergeCell ref="Q26:V26"/>
    <mergeCell ref="D5:G5"/>
    <mergeCell ref="D6:F6"/>
    <mergeCell ref="A5:C5"/>
    <mergeCell ref="H5:I5"/>
    <mergeCell ref="J5:K5"/>
    <mergeCell ref="M5:N5"/>
    <mergeCell ref="O5:Q5"/>
    <mergeCell ref="R5:S5"/>
    <mergeCell ref="A6:C6"/>
    <mergeCell ref="H6:I6"/>
    <mergeCell ref="J6:K6"/>
    <mergeCell ref="M6:N6"/>
    <mergeCell ref="O6:Q6"/>
    <mergeCell ref="C20:G20"/>
    <mergeCell ref="C22:G22"/>
    <mergeCell ref="C14:G14"/>
    <mergeCell ref="C15:G15"/>
    <mergeCell ref="K15:V15"/>
    <mergeCell ref="C18:G18"/>
    <mergeCell ref="C21:G21"/>
    <mergeCell ref="C19:G19"/>
    <mergeCell ref="H14:J14"/>
    <mergeCell ref="A10:T10"/>
    <mergeCell ref="Z1:AA1"/>
    <mergeCell ref="Z28:AA28"/>
    <mergeCell ref="Z26:AA26"/>
    <mergeCell ref="Z25:AA25"/>
    <mergeCell ref="Z24:AA24"/>
    <mergeCell ref="Z23:AA23"/>
    <mergeCell ref="Z22:AA22"/>
    <mergeCell ref="Z21:AA21"/>
    <mergeCell ref="Z27:AA27"/>
    <mergeCell ref="Z4:AA4"/>
    <mergeCell ref="Z3:AA3"/>
    <mergeCell ref="Z18:AA18"/>
    <mergeCell ref="Z13:AA13"/>
    <mergeCell ref="Z5:AA5"/>
    <mergeCell ref="Z7:AA7"/>
    <mergeCell ref="Z6:AA6"/>
    <mergeCell ref="Z12:AA12"/>
    <mergeCell ref="B44:B47"/>
    <mergeCell ref="X2:Y2"/>
    <mergeCell ref="Z2:AA2"/>
    <mergeCell ref="Z11:AA11"/>
    <mergeCell ref="X11:X12"/>
    <mergeCell ref="AA16:AA17"/>
    <mergeCell ref="H15:J15"/>
    <mergeCell ref="A4:C4"/>
    <mergeCell ref="D4:H4"/>
    <mergeCell ref="I4:J4"/>
    <mergeCell ref="K4:V4"/>
    <mergeCell ref="Z10:AA10"/>
    <mergeCell ref="Z19:AA19"/>
    <mergeCell ref="Z8:AA8"/>
    <mergeCell ref="H47:I47"/>
    <mergeCell ref="H45:I45"/>
    <mergeCell ref="C17:G17"/>
    <mergeCell ref="H19:J19"/>
    <mergeCell ref="H18:J18"/>
    <mergeCell ref="H23:J23"/>
    <mergeCell ref="C16:G16"/>
    <mergeCell ref="T5:V5"/>
    <mergeCell ref="C29:G31"/>
    <mergeCell ref="C37:G40"/>
    <mergeCell ref="Y87:Y88"/>
    <mergeCell ref="X79:X82"/>
    <mergeCell ref="S83:T83"/>
    <mergeCell ref="Q73:S73"/>
    <mergeCell ref="Q83:R83"/>
    <mergeCell ref="M82:V82"/>
    <mergeCell ref="D82:L82"/>
    <mergeCell ref="D76:K76"/>
    <mergeCell ref="L76:P76"/>
    <mergeCell ref="L75:P75"/>
    <mergeCell ref="T76:V76"/>
    <mergeCell ref="T75:V75"/>
    <mergeCell ref="T74:V74"/>
    <mergeCell ref="T73:V73"/>
    <mergeCell ref="D73:H73"/>
    <mergeCell ref="D74:H74"/>
    <mergeCell ref="D75:H75"/>
    <mergeCell ref="I75:K75"/>
    <mergeCell ref="I74:K74"/>
    <mergeCell ref="I73:K73"/>
    <mergeCell ref="L74:P74"/>
    <mergeCell ref="L73:P73"/>
    <mergeCell ref="J86:L86"/>
    <mergeCell ref="D83:G85"/>
    <mergeCell ref="X56:Y56"/>
    <mergeCell ref="C25:G25"/>
    <mergeCell ref="C26:G26"/>
    <mergeCell ref="H26:J26"/>
    <mergeCell ref="H25:J25"/>
    <mergeCell ref="H22:J22"/>
    <mergeCell ref="H21:J21"/>
    <mergeCell ref="H20:J20"/>
    <mergeCell ref="C23:G23"/>
    <mergeCell ref="K26:N26"/>
    <mergeCell ref="O26:P26"/>
    <mergeCell ref="K28:V28"/>
    <mergeCell ref="K25:V25"/>
    <mergeCell ref="K24:V24"/>
    <mergeCell ref="K29:Q31"/>
    <mergeCell ref="W43:W44"/>
    <mergeCell ref="L45:V46"/>
    <mergeCell ref="K27:V27"/>
    <mergeCell ref="H24:J24"/>
    <mergeCell ref="H44:I44"/>
    <mergeCell ref="H46:I46"/>
    <mergeCell ref="F46:G46"/>
    <mergeCell ref="J46:K46"/>
    <mergeCell ref="K37:O40"/>
    <mergeCell ref="T72:V72"/>
    <mergeCell ref="Q70:S70"/>
    <mergeCell ref="Q71:S71"/>
    <mergeCell ref="Q69:S69"/>
    <mergeCell ref="T71:V71"/>
    <mergeCell ref="T70:V70"/>
    <mergeCell ref="Q72:S72"/>
    <mergeCell ref="Q68:S68"/>
    <mergeCell ref="J47:K47"/>
    <mergeCell ref="D72:K72"/>
    <mergeCell ref="D71:H71"/>
    <mergeCell ref="F47:G47"/>
    <mergeCell ref="I69:K69"/>
    <mergeCell ref="D69:H69"/>
    <mergeCell ref="L72:P72"/>
    <mergeCell ref="I71:K71"/>
    <mergeCell ref="I70:K70"/>
    <mergeCell ref="L70:P70"/>
    <mergeCell ref="D70:H70"/>
    <mergeCell ref="AC3:AD3"/>
    <mergeCell ref="AC13:AD13"/>
    <mergeCell ref="AB33:AC33"/>
    <mergeCell ref="AB14:AC14"/>
    <mergeCell ref="X14:X15"/>
    <mergeCell ref="X16:X17"/>
    <mergeCell ref="Z33:AA33"/>
    <mergeCell ref="X24:X25"/>
    <mergeCell ref="AD17:AE17"/>
    <mergeCell ref="X19:X23"/>
    <mergeCell ref="AE31:AF31"/>
    <mergeCell ref="AE32:AF32"/>
    <mergeCell ref="AC11:AD12"/>
    <mergeCell ref="AA14:AA15"/>
    <mergeCell ref="Z20:AA20"/>
    <mergeCell ref="Z9:AA9"/>
    <mergeCell ref="B89:B91"/>
    <mergeCell ref="J90:L90"/>
    <mergeCell ref="J89:L89"/>
    <mergeCell ref="X83:X86"/>
    <mergeCell ref="U88:V88"/>
    <mergeCell ref="U87:V87"/>
    <mergeCell ref="M83:N85"/>
    <mergeCell ref="O83:P83"/>
    <mergeCell ref="O84:P84"/>
    <mergeCell ref="O85:P85"/>
    <mergeCell ref="M86:N86"/>
    <mergeCell ref="Q85:R85"/>
    <mergeCell ref="Q84:R84"/>
    <mergeCell ref="U86:V86"/>
    <mergeCell ref="S86:T86"/>
    <mergeCell ref="U83:V83"/>
    <mergeCell ref="O88:P88"/>
    <mergeCell ref="O87:P87"/>
    <mergeCell ref="O86:P86"/>
    <mergeCell ref="J83:L85"/>
    <mergeCell ref="H83:I85"/>
    <mergeCell ref="O89:P89"/>
    <mergeCell ref="O91:P91"/>
    <mergeCell ref="O90:P90"/>
    <mergeCell ref="B95:B97"/>
    <mergeCell ref="D95:G95"/>
    <mergeCell ref="D93:G93"/>
    <mergeCell ref="J95:L95"/>
    <mergeCell ref="J94:L94"/>
    <mergeCell ref="H96:I96"/>
    <mergeCell ref="B92:B94"/>
    <mergeCell ref="D97:I97"/>
    <mergeCell ref="D96:G96"/>
    <mergeCell ref="M89:N89"/>
    <mergeCell ref="H87:I87"/>
    <mergeCell ref="H86:I86"/>
    <mergeCell ref="D94:I94"/>
    <mergeCell ref="D91:I91"/>
    <mergeCell ref="D88:I88"/>
    <mergeCell ref="J93:L93"/>
    <mergeCell ref="J92:L92"/>
    <mergeCell ref="D92:G92"/>
    <mergeCell ref="M87:N87"/>
    <mergeCell ref="J88:L88"/>
    <mergeCell ref="D87:G87"/>
    <mergeCell ref="D86:G86"/>
    <mergeCell ref="J87:L87"/>
    <mergeCell ref="B82:C85"/>
    <mergeCell ref="B86:B88"/>
    <mergeCell ref="B69:B72"/>
    <mergeCell ref="H95:I95"/>
    <mergeCell ref="H93:I93"/>
    <mergeCell ref="H92:I92"/>
    <mergeCell ref="H90:I90"/>
    <mergeCell ref="H89:I89"/>
    <mergeCell ref="B78:T78"/>
    <mergeCell ref="Q75:S75"/>
    <mergeCell ref="Q74:S74"/>
    <mergeCell ref="B73:B76"/>
    <mergeCell ref="Q76:S76"/>
    <mergeCell ref="M90:N90"/>
    <mergeCell ref="M88:N88"/>
    <mergeCell ref="Q89:R89"/>
    <mergeCell ref="Q88:R88"/>
    <mergeCell ref="Q87:R87"/>
    <mergeCell ref="Q86:R86"/>
    <mergeCell ref="L71:P71"/>
    <mergeCell ref="Q92:R92"/>
    <mergeCell ref="J91:L91"/>
    <mergeCell ref="M94:N94"/>
    <mergeCell ref="D89:G89"/>
    <mergeCell ref="M97:N97"/>
    <mergeCell ref="M96:N96"/>
    <mergeCell ref="O97:P97"/>
    <mergeCell ref="O96:P96"/>
    <mergeCell ref="O95:P95"/>
    <mergeCell ref="M91:N91"/>
    <mergeCell ref="Q90:R90"/>
    <mergeCell ref="D90:G90"/>
    <mergeCell ref="Q91:R91"/>
    <mergeCell ref="Q97:R97"/>
    <mergeCell ref="Q96:R96"/>
    <mergeCell ref="Q95:R95"/>
    <mergeCell ref="Q94:R94"/>
    <mergeCell ref="Q93:R93"/>
    <mergeCell ref="J96:L96"/>
    <mergeCell ref="J97:L97"/>
    <mergeCell ref="M95:N95"/>
    <mergeCell ref="M93:N93"/>
    <mergeCell ref="M92:N92"/>
    <mergeCell ref="O94:P94"/>
    <mergeCell ref="O93:P93"/>
    <mergeCell ref="O92:P92"/>
    <mergeCell ref="S97:T97"/>
    <mergeCell ref="U95:V95"/>
    <mergeCell ref="S92:T92"/>
    <mergeCell ref="S87:T87"/>
    <mergeCell ref="S91:T91"/>
    <mergeCell ref="U92:V92"/>
    <mergeCell ref="S95:T95"/>
    <mergeCell ref="S93:T93"/>
    <mergeCell ref="S88:T88"/>
    <mergeCell ref="U96:V96"/>
    <mergeCell ref="U97:V97"/>
    <mergeCell ref="S96:T96"/>
    <mergeCell ref="U94:V94"/>
    <mergeCell ref="S94:T94"/>
    <mergeCell ref="U91:V91"/>
    <mergeCell ref="U90:V90"/>
    <mergeCell ref="S90:T90"/>
    <mergeCell ref="S89:T89"/>
    <mergeCell ref="U89:V89"/>
    <mergeCell ref="U93:V93"/>
    <mergeCell ref="H27:J27"/>
    <mergeCell ref="U38:V38"/>
    <mergeCell ref="X44:Y44"/>
    <mergeCell ref="J45:K45"/>
    <mergeCell ref="J44:K44"/>
    <mergeCell ref="R35:T35"/>
    <mergeCell ref="R36:T36"/>
    <mergeCell ref="U35:V35"/>
    <mergeCell ref="U36:V36"/>
    <mergeCell ref="W41:W42"/>
    <mergeCell ref="X41:Y41"/>
    <mergeCell ref="X42:Y42"/>
    <mergeCell ref="P33:V33"/>
    <mergeCell ref="U40:V40"/>
    <mergeCell ref="X43:Y43"/>
    <mergeCell ref="Q37:V37"/>
    <mergeCell ref="M34:N34"/>
    <mergeCell ref="M35:N35"/>
    <mergeCell ref="M36:N36"/>
    <mergeCell ref="K33:N33"/>
    <mergeCell ref="K32:V32"/>
    <mergeCell ref="H29:J31"/>
    <mergeCell ref="P38:Q38"/>
    <mergeCell ref="P39:Q39"/>
    <mergeCell ref="AF52:AF54"/>
    <mergeCell ref="AE52:AE54"/>
    <mergeCell ref="AD52:AD54"/>
    <mergeCell ref="AC52:AC54"/>
    <mergeCell ref="AB52:AB54"/>
    <mergeCell ref="AA52:AA54"/>
    <mergeCell ref="Z52:Z54"/>
    <mergeCell ref="AE36:AF36"/>
    <mergeCell ref="I68:K68"/>
    <mergeCell ref="X55:Y55"/>
    <mergeCell ref="Q67:V67"/>
    <mergeCell ref="B64:T64"/>
    <mergeCell ref="B67:C68"/>
    <mergeCell ref="B59:C59"/>
    <mergeCell ref="B60:C60"/>
    <mergeCell ref="X52:Y54"/>
    <mergeCell ref="B66:T66"/>
    <mergeCell ref="B62:Q62"/>
    <mergeCell ref="F57:H58"/>
    <mergeCell ref="B56:C58"/>
    <mergeCell ref="D60:E60"/>
    <mergeCell ref="D56:H56"/>
    <mergeCell ref="F44:G44"/>
    <mergeCell ref="D67:P67"/>
    <mergeCell ref="R34:T34"/>
    <mergeCell ref="R39:T39"/>
    <mergeCell ref="R40:T40"/>
    <mergeCell ref="R38:T38"/>
    <mergeCell ref="T69:V69"/>
    <mergeCell ref="L69:P69"/>
    <mergeCell ref="D59:E59"/>
    <mergeCell ref="D57:E58"/>
    <mergeCell ref="H37:J40"/>
    <mergeCell ref="H32:J36"/>
    <mergeCell ref="F59:H59"/>
    <mergeCell ref="C44:E47"/>
    <mergeCell ref="U39:V39"/>
    <mergeCell ref="F45:G45"/>
    <mergeCell ref="L47:V47"/>
    <mergeCell ref="P40:Q40"/>
    <mergeCell ref="F60:H60"/>
    <mergeCell ref="S62:U62"/>
    <mergeCell ref="L68:P68"/>
    <mergeCell ref="T68:V68"/>
    <mergeCell ref="D68:H68"/>
    <mergeCell ref="B14:B40"/>
    <mergeCell ref="H17:J17"/>
    <mergeCell ref="H16:J16"/>
    <mergeCell ref="A1:V2"/>
    <mergeCell ref="O36:Q36"/>
    <mergeCell ref="O34:Q34"/>
    <mergeCell ref="O35:Q35"/>
    <mergeCell ref="K23:V23"/>
    <mergeCell ref="K22:V22"/>
    <mergeCell ref="K21:V21"/>
    <mergeCell ref="K20:V20"/>
    <mergeCell ref="K19:V19"/>
    <mergeCell ref="K18:V18"/>
    <mergeCell ref="K17:V17"/>
    <mergeCell ref="K16:V16"/>
    <mergeCell ref="K14:V14"/>
    <mergeCell ref="R29:V29"/>
    <mergeCell ref="R31:V31"/>
    <mergeCell ref="R30:V30"/>
    <mergeCell ref="C27:G27"/>
    <mergeCell ref="C24:G24"/>
    <mergeCell ref="H28:J28"/>
    <mergeCell ref="C28:G28"/>
    <mergeCell ref="C32:G36"/>
  </mergeCells>
  <phoneticPr fontId="1"/>
  <conditionalFormatting sqref="A10">
    <cfRule type="cellIs" dxfId="9" priority="2" operator="equal">
      <formula>"※チェックボックスはいずれかひとつを選択してください。"</formula>
    </cfRule>
  </conditionalFormatting>
  <conditionalFormatting sqref="H20">
    <cfRule type="cellIs" priority="7" operator="equal">
      <formula>"-"</formula>
    </cfRule>
  </conditionalFormatting>
  <conditionalFormatting sqref="K18">
    <cfRule type="cellIs" dxfId="8" priority="3" operator="equal">
      <formula>"プルダウンで「－」を選択してください。"</formula>
    </cfRule>
  </conditionalFormatting>
  <conditionalFormatting sqref="K20">
    <cfRule type="cellIs" dxfId="7" priority="6" operator="equal">
      <formula>"プルダウンで「－」を選択してください。"</formula>
    </cfRule>
  </conditionalFormatting>
  <conditionalFormatting sqref="K21:K22">
    <cfRule type="cellIs" dxfId="6" priority="4" operator="equal">
      <formula>"左記の数値を削除してください。"</formula>
    </cfRule>
  </conditionalFormatting>
  <conditionalFormatting sqref="K20:V20">
    <cfRule type="cellIs" dxfId="5" priority="1" operator="equal">
      <formula>"プルダウン選択してください。"</formula>
    </cfRule>
  </conditionalFormatting>
  <conditionalFormatting sqref="P33">
    <cfRule type="cellIs" dxfId="4" priority="10" operator="equal">
      <formula>"下記の数値を削除してください"</formula>
    </cfRule>
    <cfRule type="cellIs" dxfId="3" priority="11" operator="equal">
      <formula>"下記へ数値入力してください。"</formula>
    </cfRule>
  </conditionalFormatting>
  <conditionalFormatting sqref="Q37:R37">
    <cfRule type="cellIs" dxfId="2" priority="21" operator="equal">
      <formula>"下記へ数値入力してください。"</formula>
    </cfRule>
  </conditionalFormatting>
  <conditionalFormatting sqref="R29 Q37:V37">
    <cfRule type="cellIs" dxfId="1" priority="18" operator="equal">
      <formula>"下記の数値を削除してください"</formula>
    </cfRule>
  </conditionalFormatting>
  <conditionalFormatting sqref="R29">
    <cfRule type="cellIs" dxfId="0" priority="23" operator="equal">
      <formula>"下記へ数値入力してください。"</formula>
    </cfRule>
  </conditionalFormatting>
  <dataValidations count="13">
    <dataValidation type="list" allowBlank="1" showInputMessage="1" showErrorMessage="1" sqref="H37" xr:uid="{00000000-0002-0000-0200-000000000000}">
      <formula1>$Y$24:$Y$25</formula1>
    </dataValidation>
    <dataValidation type="list" allowBlank="1" showInputMessage="1" showErrorMessage="1" sqref="J89:J90 J86:J87 J92:J93 J95:J96" xr:uid="{00000000-0002-0000-0200-000003000000}">
      <formula1>INDIRECT(AD88)</formula1>
    </dataValidation>
    <dataValidation type="list" allowBlank="1" showInputMessage="1" showErrorMessage="1" sqref="H28" xr:uid="{00000000-0002-0000-0200-000004000000}">
      <formula1>$Y$19:$Y$23</formula1>
    </dataValidation>
    <dataValidation type="list" allowBlank="1" showInputMessage="1" showErrorMessage="1" sqref="I73:I75 I69:I71" xr:uid="{00000000-0002-0000-0200-000006000000}">
      <formula1>INDIRECT(D69)</formula1>
    </dataValidation>
    <dataValidation type="list" allowBlank="1" showInputMessage="1" showErrorMessage="1" sqref="H92:H93 H89:H90 H95:H96 H86:H87" xr:uid="{00000000-0002-0000-0200-000007000000}">
      <formula1>INDIRECT(D86)</formula1>
    </dataValidation>
    <dataValidation type="list" allowBlank="1" showInputMessage="1" showErrorMessage="1" sqref="H32" xr:uid="{00000000-0002-0000-0200-000008000000}">
      <formula1>$Y$11:$Y$12</formula1>
    </dataValidation>
    <dataValidation type="list" allowBlank="1" showInputMessage="1" showErrorMessage="1" sqref="H20" xr:uid="{00000000-0002-0000-0200-000009000000}">
      <formula1>$AE$11:$AE$12</formula1>
    </dataValidation>
    <dataValidation type="list" allowBlank="1" showInputMessage="1" showErrorMessage="1" sqref="L73:L75 L69:L71" xr:uid="{00000000-0002-0000-0200-00000A000000}">
      <formula1>INDIRECT(AE69)</formula1>
    </dataValidation>
    <dataValidation type="list" allowBlank="1" showInputMessage="1" showErrorMessage="1" sqref="S7:V7 D5:D7" xr:uid="{00000000-0002-0000-0200-00000D000000}">
      <formula1>$AG$3:$AG$5</formula1>
    </dataValidation>
    <dataValidation type="list" allowBlank="1" showInputMessage="1" showErrorMessage="1" sqref="H19" xr:uid="{00000000-0002-0000-0200-000001000000}">
      <formula1>$AE$4:$AE$5</formula1>
    </dataValidation>
    <dataValidation type="list" allowBlank="1" showInputMessage="1" showErrorMessage="1" sqref="H29:J31" xr:uid="{00000000-0002-0000-0200-00000C000000}">
      <formula1>$Y$3:$Y$5</formula1>
    </dataValidation>
    <dataValidation type="list" allowBlank="1" showInputMessage="1" showErrorMessage="1" sqref="H27" xr:uid="{00000000-0002-0000-0200-000002000000}">
      <formula1>$Y$6:$Y$8</formula1>
    </dataValidation>
    <dataValidation type="list" allowBlank="1" showInputMessage="1" showErrorMessage="1" sqref="H18" xr:uid="{00000000-0002-0000-0200-000005000000}">
      <formula1>$AE$6:$AE$9</formula1>
    </dataValidation>
  </dataValidations>
  <hyperlinks>
    <hyperlink ref="S62:U62" location="表計算ツールの解説・注意事項!A253" display="こちら。" xr:uid="{00000000-0004-0000-0200-000000000000}"/>
    <hyperlink ref="I55" location="表計算ツールの解説・注意事項!A139" display="こちら。" xr:uid="{00000000-0004-0000-0200-000001000000}"/>
    <hyperlink ref="I65" location="表計算ツールの解説・注意事項!A206" display="こちら。" xr:uid="{00000000-0004-0000-0200-000002000000}"/>
    <hyperlink ref="H41" location="表計算ツールの解説・注意事項!A85" display="こちら。" xr:uid="{00000000-0004-0000-0200-000003000000}"/>
    <hyperlink ref="I79" location="表計算ツールの解説・注意事項!A218" display="こちら。" xr:uid="{00000000-0004-0000-0200-000004000000}"/>
  </hyperlinks>
  <pageMargins left="0.70866141732283472" right="0.70866141732283472" top="0.74803149606299213" bottom="0.74803149606299213" header="0.31496062992125984" footer="0.31496062992125984"/>
  <pageSetup paperSize="9" scale="68" fitToHeight="0" orientation="portrait" r:id="rId1"/>
  <rowBreaks count="1" manualBreakCount="1">
    <brk id="63" max="32" man="1"/>
  </rowBreaks>
  <colBreaks count="1" manualBreakCount="1">
    <brk id="22" max="96" man="1"/>
  </colBreaks>
  <ignoredErrors>
    <ignoredError sqref="S75 S69 S70 S71 S74 S73 T86 S88:V88 U86:V86 S97:V97 S95:V96 S86 S87:V87 S91:V91 S89:V90 S94:V94 S93:V93 S92:V92 M89:M97 O87:O97 Q86:Q9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0</xdr:col>
                    <xdr:colOff>0</xdr:colOff>
                    <xdr:row>63</xdr:row>
                    <xdr:rowOff>0</xdr:rowOff>
                  </from>
                  <to>
                    <xdr:col>1</xdr:col>
                    <xdr:colOff>19050</xdr:colOff>
                    <xdr:row>64</xdr:row>
                    <xdr:rowOff>38100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28575</xdr:colOff>
                    <xdr:row>77</xdr:row>
                    <xdr:rowOff>28575</xdr:rowOff>
                  </from>
                  <to>
                    <xdr:col>0</xdr:col>
                    <xdr:colOff>266700</xdr:colOff>
                    <xdr:row>78</xdr:row>
                    <xdr:rowOff>38100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0</xdr:col>
                    <xdr:colOff>0</xdr:colOff>
                    <xdr:row>52</xdr:row>
                    <xdr:rowOff>219075</xdr:rowOff>
                  </from>
                  <to>
                    <xdr:col>1</xdr:col>
                    <xdr:colOff>19050</xdr:colOff>
                    <xdr:row>54</xdr:row>
                    <xdr:rowOff>19050</xdr:rowOff>
                  </to>
                </anchor>
              </controlPr>
            </control>
          </mc:Choice>
        </mc:AlternateContent>
        <mc:AlternateContent xmlns:mc="http://schemas.openxmlformats.org/markup-compatibility/2006">
          <mc:Choice Requires="x14">
            <control shapeId="2073" r:id="rId7" name="Check Box 25">
              <controlPr defaultSize="0" autoFill="0" autoLine="0" autoPict="0">
                <anchor moveWithCells="1">
                  <from>
                    <xdr:col>0</xdr:col>
                    <xdr:colOff>19050</xdr:colOff>
                    <xdr:row>7</xdr:row>
                    <xdr:rowOff>180975</xdr:rowOff>
                  </from>
                  <to>
                    <xdr:col>1</xdr:col>
                    <xdr:colOff>66675</xdr:colOff>
                    <xdr:row>9</xdr:row>
                    <xdr:rowOff>9525</xdr:rowOff>
                  </to>
                </anchor>
              </controlPr>
            </control>
          </mc:Choice>
        </mc:AlternateContent>
        <mc:AlternateContent xmlns:mc="http://schemas.openxmlformats.org/markup-compatibility/2006">
          <mc:Choice Requires="x14">
            <control shapeId="2074" r:id="rId8" name="Check Box 26">
              <controlPr defaultSize="0" autoFill="0" autoLine="0" autoPict="0">
                <anchor moveWithCells="1">
                  <from>
                    <xdr:col>7</xdr:col>
                    <xdr:colOff>123825</xdr:colOff>
                    <xdr:row>7</xdr:row>
                    <xdr:rowOff>152400</xdr:rowOff>
                  </from>
                  <to>
                    <xdr:col>8</xdr:col>
                    <xdr:colOff>66675</xdr:colOff>
                    <xdr:row>9</xdr:row>
                    <xdr:rowOff>47625</xdr:rowOff>
                  </to>
                </anchor>
              </controlPr>
            </control>
          </mc:Choice>
        </mc:AlternateContent>
        <mc:AlternateContent xmlns:mc="http://schemas.openxmlformats.org/markup-compatibility/2006">
          <mc:Choice Requires="x14">
            <control shapeId="2075" r:id="rId9" name="Check Box 27">
              <controlPr defaultSize="0" autoFill="0" autoLine="0" autoPict="0">
                <anchor moveWithCells="1">
                  <from>
                    <xdr:col>12</xdr:col>
                    <xdr:colOff>95250</xdr:colOff>
                    <xdr:row>8</xdr:row>
                    <xdr:rowOff>0</xdr:rowOff>
                  </from>
                  <to>
                    <xdr:col>12</xdr:col>
                    <xdr:colOff>371475</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柱の圧縮基準強度!$I$1:$M$1</xm:f>
          </x14:formula1>
          <xm:sqref>D69:D71 D73:D75 D89:D90 D86:D87 D95:D96 D92:D93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8"/>
  <sheetViews>
    <sheetView workbookViewId="0">
      <selection activeCell="C5" sqref="C5"/>
    </sheetView>
  </sheetViews>
  <sheetFormatPr defaultRowHeight="18.75"/>
  <cols>
    <col min="1" max="1" width="15.625" customWidth="1"/>
    <col min="2" max="2" width="8" style="392" customWidth="1"/>
    <col min="3" max="3" width="79" customWidth="1"/>
  </cols>
  <sheetData>
    <row r="1" spans="1:3">
      <c r="A1" s="1" t="s">
        <v>406</v>
      </c>
      <c r="B1" s="390" t="s">
        <v>639</v>
      </c>
      <c r="C1" s="1" t="s">
        <v>282</v>
      </c>
    </row>
    <row r="2" spans="1:3">
      <c r="A2" s="122">
        <v>45595</v>
      </c>
      <c r="B2" s="391">
        <v>1</v>
      </c>
      <c r="C2" s="23" t="s">
        <v>622</v>
      </c>
    </row>
    <row r="3" spans="1:3" ht="75">
      <c r="A3" s="122">
        <v>45674</v>
      </c>
      <c r="B3" s="394">
        <v>1.1000000000000001</v>
      </c>
      <c r="C3" s="27" t="s">
        <v>649</v>
      </c>
    </row>
    <row r="4" spans="1:3" ht="37.5">
      <c r="A4" s="122">
        <v>45727</v>
      </c>
      <c r="B4" s="394">
        <v>1.2</v>
      </c>
      <c r="C4" s="27" t="s">
        <v>651</v>
      </c>
    </row>
    <row r="5" spans="1:3">
      <c r="A5" s="23"/>
      <c r="B5" s="391"/>
      <c r="C5" s="23"/>
    </row>
    <row r="6" spans="1:3">
      <c r="A6" s="23"/>
      <c r="B6" s="391"/>
      <c r="C6" s="23"/>
    </row>
    <row r="7" spans="1:3">
      <c r="A7" s="23"/>
      <c r="B7" s="391"/>
      <c r="C7" s="23"/>
    </row>
    <row r="8" spans="1:3">
      <c r="A8" s="23"/>
      <c r="B8" s="391"/>
      <c r="C8" s="23"/>
    </row>
  </sheetData>
  <sheetProtection algorithmName="SHA-512" hashValue="VdH6QOLSMH6MiHjIY0SfsZieoTMobJ9TykeJuTAL8NKU9gLGkKS0C5epa/aeLGDwnTptPiS9UZ5BbpAhp3ng5Q==" saltValue="suQLDajhJ9JKOmQge0I5yg=="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187"/>
  <sheetViews>
    <sheetView topLeftCell="B133" zoomScale="71" zoomScaleNormal="100" workbookViewId="0">
      <selection activeCell="F162" sqref="F162:F166"/>
    </sheetView>
  </sheetViews>
  <sheetFormatPr defaultRowHeight="18.75"/>
  <cols>
    <col min="1" max="1" width="39.625" hidden="1" customWidth="1"/>
    <col min="2" max="2" width="27.125" customWidth="1"/>
    <col min="3" max="3" width="23.625" style="2" customWidth="1"/>
    <col min="4" max="4" width="18.125" style="2" customWidth="1"/>
    <col min="5" max="5" width="12.75" customWidth="1"/>
    <col min="6" max="6" width="29.625" style="16" customWidth="1"/>
    <col min="7" max="7" width="8.75" customWidth="1"/>
    <col min="8" max="8" width="11.25" style="2" hidden="1" customWidth="1"/>
    <col min="9" max="9" width="20.625" hidden="1" customWidth="1"/>
    <col min="10" max="10" width="20.625" style="16" hidden="1" customWidth="1"/>
    <col min="11" max="11" width="20.625" hidden="1" customWidth="1"/>
    <col min="12" max="13" width="20.625" style="2" hidden="1" customWidth="1"/>
    <col min="14" max="14" width="14" style="16" hidden="1" customWidth="1"/>
  </cols>
  <sheetData>
    <row r="1" spans="1:14" ht="37.5">
      <c r="I1" s="24" t="s">
        <v>233</v>
      </c>
      <c r="J1" s="24" t="s">
        <v>224</v>
      </c>
      <c r="K1" s="24" t="s">
        <v>225</v>
      </c>
      <c r="L1" s="24" t="s">
        <v>232</v>
      </c>
      <c r="M1" s="24" t="s">
        <v>249</v>
      </c>
      <c r="N1" s="16" t="s">
        <v>287</v>
      </c>
    </row>
    <row r="2" spans="1:14" ht="24.75" customHeight="1">
      <c r="E2" s="2"/>
      <c r="F2" s="2"/>
      <c r="I2" s="1" t="s">
        <v>51</v>
      </c>
      <c r="J2" s="6" t="s">
        <v>80</v>
      </c>
      <c r="K2" s="1" t="s">
        <v>51</v>
      </c>
      <c r="L2" s="24" t="s">
        <v>172</v>
      </c>
      <c r="M2" s="24" t="s">
        <v>172</v>
      </c>
    </row>
    <row r="3" spans="1:14" ht="20.100000000000001" customHeight="1">
      <c r="A3" s="3" t="s">
        <v>284</v>
      </c>
      <c r="B3" s="3" t="s">
        <v>226</v>
      </c>
      <c r="C3" s="26" t="s">
        <v>46</v>
      </c>
      <c r="D3" s="3" t="s">
        <v>47</v>
      </c>
      <c r="E3" s="26"/>
      <c r="F3" s="34" t="s">
        <v>285</v>
      </c>
      <c r="G3" s="12"/>
      <c r="I3" s="1" t="s">
        <v>52</v>
      </c>
      <c r="J3" s="23" t="s">
        <v>76</v>
      </c>
      <c r="K3" s="24" t="s">
        <v>236</v>
      </c>
      <c r="L3" s="24"/>
      <c r="M3" s="6"/>
      <c r="N3"/>
    </row>
    <row r="4" spans="1:14" ht="18.75" customHeight="1">
      <c r="A4" s="1" t="str">
        <f t="shared" ref="A4:A35" si="0">B4&amp;C4&amp;D4</f>
        <v>JAS機械等級区分構造用製材あかまつE70</v>
      </c>
      <c r="B4" s="1" t="s">
        <v>283</v>
      </c>
      <c r="C4" s="27" t="s">
        <v>51</v>
      </c>
      <c r="D4" s="1" t="s">
        <v>72</v>
      </c>
      <c r="E4" s="18"/>
      <c r="F4" s="6">
        <v>9.6</v>
      </c>
      <c r="G4" s="7"/>
      <c r="I4" s="1" t="s">
        <v>54</v>
      </c>
      <c r="J4" s="6" t="s">
        <v>77</v>
      </c>
      <c r="K4" s="1" t="s">
        <v>52</v>
      </c>
      <c r="L4" s="24"/>
      <c r="M4" s="24"/>
    </row>
    <row r="5" spans="1:14" ht="18.75" customHeight="1">
      <c r="A5" s="1" t="str">
        <f t="shared" si="0"/>
        <v>JAS機械等級区分構造用製材あかまつE90</v>
      </c>
      <c r="B5" s="1" t="s">
        <v>283</v>
      </c>
      <c r="C5" s="27" t="s">
        <v>51</v>
      </c>
      <c r="D5" s="1" t="s">
        <v>61</v>
      </c>
      <c r="E5" s="18"/>
      <c r="F5" s="6">
        <v>16.8</v>
      </c>
      <c r="G5" s="7"/>
      <c r="I5" s="1" t="s">
        <v>57</v>
      </c>
      <c r="J5" s="6" t="s">
        <v>78</v>
      </c>
      <c r="K5" s="1" t="s">
        <v>53</v>
      </c>
      <c r="L5" s="24"/>
      <c r="M5" s="24"/>
    </row>
    <row r="6" spans="1:14" ht="18.75" customHeight="1">
      <c r="A6" s="1" t="str">
        <f t="shared" si="0"/>
        <v>JAS機械等級区分構造用製材あかまつE110</v>
      </c>
      <c r="B6" s="1" t="s">
        <v>283</v>
      </c>
      <c r="C6" s="27" t="s">
        <v>51</v>
      </c>
      <c r="D6" s="1" t="s">
        <v>63</v>
      </c>
      <c r="E6" s="18"/>
      <c r="F6" s="6">
        <v>24.6</v>
      </c>
      <c r="G6" s="7"/>
      <c r="I6" s="1" t="s">
        <v>234</v>
      </c>
      <c r="J6" s="6" t="s">
        <v>229</v>
      </c>
      <c r="K6" s="1" t="s">
        <v>55</v>
      </c>
      <c r="L6" s="24"/>
      <c r="M6" s="24"/>
    </row>
    <row r="7" spans="1:14" ht="18.75" customHeight="1">
      <c r="A7" s="1" t="str">
        <f t="shared" si="0"/>
        <v>JAS機械等級区分構造用製材あかまつE130</v>
      </c>
      <c r="B7" s="1" t="s">
        <v>283</v>
      </c>
      <c r="C7" s="27" t="s">
        <v>51</v>
      </c>
      <c r="D7" s="1" t="s">
        <v>64</v>
      </c>
      <c r="E7" s="18"/>
      <c r="F7" s="6">
        <v>31.8</v>
      </c>
      <c r="G7" s="7"/>
      <c r="I7" s="1" t="s">
        <v>235</v>
      </c>
      <c r="J7" s="6" t="s">
        <v>230</v>
      </c>
      <c r="K7" s="1" t="s">
        <v>56</v>
      </c>
      <c r="L7" s="24"/>
      <c r="M7" s="24"/>
    </row>
    <row r="8" spans="1:14" ht="18.75" customHeight="1">
      <c r="A8" s="1" t="str">
        <f t="shared" si="0"/>
        <v xml:space="preserve">JAS機械等級区分構造用製材あかまつE150 </v>
      </c>
      <c r="B8" s="1" t="s">
        <v>283</v>
      </c>
      <c r="C8" s="27" t="s">
        <v>51</v>
      </c>
      <c r="D8" s="1" t="s">
        <v>62</v>
      </c>
      <c r="E8" s="18"/>
      <c r="F8" s="6">
        <v>39</v>
      </c>
      <c r="G8" s="7"/>
      <c r="I8" s="1" t="s">
        <v>53</v>
      </c>
      <c r="J8" s="6" t="s">
        <v>79</v>
      </c>
      <c r="K8" s="1" t="s">
        <v>237</v>
      </c>
      <c r="L8" s="24"/>
      <c r="M8" s="24"/>
    </row>
    <row r="9" spans="1:14" ht="18.75" customHeight="1">
      <c r="A9" s="1" t="str">
        <f t="shared" si="0"/>
        <v>JAS機械等級区分構造用製材べいまつE70</v>
      </c>
      <c r="B9" s="1" t="s">
        <v>283</v>
      </c>
      <c r="C9" s="27" t="s">
        <v>52</v>
      </c>
      <c r="D9" s="1" t="s">
        <v>72</v>
      </c>
      <c r="E9" s="33"/>
      <c r="F9" s="6">
        <v>9.6</v>
      </c>
      <c r="G9" s="7"/>
      <c r="I9" s="1" t="s">
        <v>56</v>
      </c>
      <c r="J9" s="6" t="s">
        <v>234</v>
      </c>
      <c r="K9" s="1" t="s">
        <v>238</v>
      </c>
      <c r="L9" s="24"/>
      <c r="M9" s="24"/>
    </row>
    <row r="10" spans="1:14" ht="18.75" customHeight="1">
      <c r="A10" s="1" t="str">
        <f t="shared" si="0"/>
        <v>JAS機械等級区分構造用製材べいまつE90</v>
      </c>
      <c r="B10" s="1" t="s">
        <v>283</v>
      </c>
      <c r="C10" s="27" t="s">
        <v>52</v>
      </c>
      <c r="D10" s="1" t="s">
        <v>61</v>
      </c>
      <c r="E10" s="33"/>
      <c r="F10" s="6">
        <v>16.8</v>
      </c>
      <c r="G10" s="7"/>
      <c r="I10" s="1" t="s">
        <v>55</v>
      </c>
      <c r="J10" s="28" t="s">
        <v>235</v>
      </c>
      <c r="K10" s="1" t="s">
        <v>239</v>
      </c>
      <c r="L10" s="24"/>
      <c r="M10" s="24"/>
    </row>
    <row r="11" spans="1:14" ht="18.75" customHeight="1">
      <c r="A11" s="1" t="str">
        <f t="shared" si="0"/>
        <v>JAS機械等級区分構造用製材べいまつE110</v>
      </c>
      <c r="B11" s="1" t="s">
        <v>283</v>
      </c>
      <c r="C11" s="27" t="s">
        <v>52</v>
      </c>
      <c r="D11" s="1" t="s">
        <v>63</v>
      </c>
      <c r="E11" s="33"/>
      <c r="F11" s="6">
        <v>24.6</v>
      </c>
      <c r="G11" s="7"/>
      <c r="I11" s="1" t="s">
        <v>59</v>
      </c>
      <c r="J11" s="28" t="s">
        <v>71</v>
      </c>
      <c r="K11" s="1" t="s">
        <v>57</v>
      </c>
    </row>
    <row r="12" spans="1:14" ht="18.75" customHeight="1">
      <c r="A12" s="1" t="str">
        <f t="shared" si="0"/>
        <v>JAS機械等級区分構造用製材べいまつE130</v>
      </c>
      <c r="B12" s="1" t="s">
        <v>283</v>
      </c>
      <c r="C12" s="27" t="s">
        <v>52</v>
      </c>
      <c r="D12" s="1" t="s">
        <v>64</v>
      </c>
      <c r="E12" s="33"/>
      <c r="F12" s="6">
        <v>31.8</v>
      </c>
      <c r="G12" s="7"/>
      <c r="K12" s="1" t="s">
        <v>240</v>
      </c>
    </row>
    <row r="13" spans="1:14" ht="18.75" customHeight="1">
      <c r="A13" s="1" t="str">
        <f t="shared" si="0"/>
        <v xml:space="preserve">JAS機械等級区分構造用製材べいまつE150 </v>
      </c>
      <c r="B13" s="1" t="s">
        <v>283</v>
      </c>
      <c r="C13" s="27" t="s">
        <v>52</v>
      </c>
      <c r="D13" s="1" t="s">
        <v>62</v>
      </c>
      <c r="E13" s="33"/>
      <c r="F13" s="6">
        <v>39</v>
      </c>
      <c r="G13" s="7"/>
      <c r="K13" s="27" t="s">
        <v>234</v>
      </c>
    </row>
    <row r="14" spans="1:14" ht="18.75" customHeight="1">
      <c r="A14" s="1" t="str">
        <f t="shared" si="0"/>
        <v>JAS機械等級区分構造用製材ダフリカからまつE70</v>
      </c>
      <c r="B14" s="1" t="s">
        <v>283</v>
      </c>
      <c r="C14" s="27" t="s">
        <v>78</v>
      </c>
      <c r="D14" s="1" t="s">
        <v>72</v>
      </c>
      <c r="E14" s="33"/>
      <c r="F14" s="6">
        <v>9.6</v>
      </c>
      <c r="G14" s="7"/>
      <c r="J14" s="13"/>
      <c r="K14" s="27" t="s">
        <v>235</v>
      </c>
    </row>
    <row r="15" spans="1:14" ht="18.75" customHeight="1">
      <c r="A15" s="1" t="str">
        <f t="shared" si="0"/>
        <v>JAS機械等級区分構造用製材ダフリカからまつE90</v>
      </c>
      <c r="B15" s="1" t="s">
        <v>283</v>
      </c>
      <c r="C15" s="27" t="s">
        <v>78</v>
      </c>
      <c r="D15" s="1" t="s">
        <v>61</v>
      </c>
      <c r="E15" s="33"/>
      <c r="F15" s="6">
        <v>16.8</v>
      </c>
      <c r="G15" s="7"/>
      <c r="J15" s="13"/>
      <c r="K15" s="27" t="s">
        <v>241</v>
      </c>
    </row>
    <row r="16" spans="1:14" ht="18.75" customHeight="1">
      <c r="A16" s="1" t="str">
        <f t="shared" si="0"/>
        <v>JAS機械等級区分構造用製材ダフリカからまつE110</v>
      </c>
      <c r="B16" s="1" t="s">
        <v>283</v>
      </c>
      <c r="C16" s="27" t="s">
        <v>78</v>
      </c>
      <c r="D16" s="1" t="s">
        <v>63</v>
      </c>
      <c r="E16" s="33"/>
      <c r="F16" s="6">
        <v>24.6</v>
      </c>
      <c r="G16" s="7"/>
      <c r="J16" s="13"/>
      <c r="K16" s="27" t="s">
        <v>59</v>
      </c>
    </row>
    <row r="17" spans="1:13" ht="18.75" customHeight="1">
      <c r="A17" s="1" t="str">
        <f t="shared" si="0"/>
        <v>JAS機械等級区分構造用製材ダフリカからまつE130</v>
      </c>
      <c r="B17" s="1" t="s">
        <v>283</v>
      </c>
      <c r="C17" s="27" t="s">
        <v>78</v>
      </c>
      <c r="D17" s="1" t="s">
        <v>64</v>
      </c>
      <c r="E17" s="33"/>
      <c r="F17" s="6">
        <v>31.8</v>
      </c>
      <c r="G17" s="7"/>
      <c r="J17" s="13"/>
      <c r="K17" s="27" t="s">
        <v>242</v>
      </c>
    </row>
    <row r="18" spans="1:13" ht="18.75" customHeight="1">
      <c r="A18" s="1" t="str">
        <f t="shared" si="0"/>
        <v xml:space="preserve">JAS機械等級区分構造用製材ダフリカからまつE150 </v>
      </c>
      <c r="B18" s="1" t="s">
        <v>283</v>
      </c>
      <c r="C18" s="27" t="s">
        <v>78</v>
      </c>
      <c r="D18" s="1" t="s">
        <v>62</v>
      </c>
      <c r="E18" s="33"/>
      <c r="F18" s="6">
        <v>39</v>
      </c>
      <c r="G18" s="7"/>
      <c r="J18" s="13"/>
      <c r="K18" s="27" t="s">
        <v>243</v>
      </c>
    </row>
    <row r="19" spans="1:13" ht="18.75" customHeight="1">
      <c r="A19" s="1" t="str">
        <f t="shared" si="0"/>
        <v>JAS機械等級区分構造用製材べいつがE70</v>
      </c>
      <c r="B19" s="1" t="s">
        <v>283</v>
      </c>
      <c r="C19" s="27" t="s">
        <v>79</v>
      </c>
      <c r="D19" s="1" t="s">
        <v>72</v>
      </c>
      <c r="E19" s="33"/>
      <c r="F19" s="6">
        <v>9.6</v>
      </c>
      <c r="G19" s="7"/>
      <c r="J19" s="13"/>
      <c r="K19" s="27" t="s">
        <v>240</v>
      </c>
    </row>
    <row r="20" spans="1:13">
      <c r="A20" s="1" t="str">
        <f t="shared" si="0"/>
        <v>JAS機械等級区分構造用製材べいつがE90</v>
      </c>
      <c r="B20" s="1" t="s">
        <v>283</v>
      </c>
      <c r="C20" s="27" t="s">
        <v>79</v>
      </c>
      <c r="D20" s="1" t="s">
        <v>61</v>
      </c>
      <c r="E20" s="33"/>
      <c r="F20" s="6">
        <v>16.8</v>
      </c>
      <c r="G20" s="7"/>
      <c r="K20" s="27" t="s">
        <v>234</v>
      </c>
    </row>
    <row r="21" spans="1:13">
      <c r="A21" s="1" t="str">
        <f t="shared" si="0"/>
        <v>JAS機械等級区分構造用製材べいつがE110</v>
      </c>
      <c r="B21" s="1" t="s">
        <v>283</v>
      </c>
      <c r="C21" s="27" t="s">
        <v>79</v>
      </c>
      <c r="D21" s="1" t="s">
        <v>63</v>
      </c>
      <c r="E21" s="33"/>
      <c r="F21" s="6">
        <v>24.6</v>
      </c>
      <c r="G21" s="7"/>
      <c r="K21" s="27" t="s">
        <v>235</v>
      </c>
    </row>
    <row r="22" spans="1:13">
      <c r="A22" s="1" t="str">
        <f t="shared" si="0"/>
        <v>JAS機械等級区分構造用製材べいつがE130</v>
      </c>
      <c r="B22" s="1" t="s">
        <v>283</v>
      </c>
      <c r="C22" s="27" t="s">
        <v>79</v>
      </c>
      <c r="D22" s="1" t="s">
        <v>64</v>
      </c>
      <c r="E22" s="33"/>
      <c r="F22" s="6">
        <v>31.8</v>
      </c>
      <c r="G22" s="7"/>
      <c r="K22" s="27" t="s">
        <v>70</v>
      </c>
    </row>
    <row r="23" spans="1:13">
      <c r="A23" s="1" t="str">
        <f t="shared" si="0"/>
        <v xml:space="preserve">JAS機械等級区分構造用製材べいつがE150 </v>
      </c>
      <c r="B23" s="1" t="s">
        <v>283</v>
      </c>
      <c r="C23" s="27" t="s">
        <v>79</v>
      </c>
      <c r="D23" s="1" t="s">
        <v>62</v>
      </c>
      <c r="E23" s="33"/>
      <c r="F23" s="6">
        <v>39</v>
      </c>
      <c r="G23" s="7"/>
      <c r="K23" s="27" t="s">
        <v>244</v>
      </c>
    </row>
    <row r="24" spans="1:13">
      <c r="A24" s="1" t="str">
        <f t="shared" si="0"/>
        <v>JAS機械等級区分構造用製材えぞまつE70</v>
      </c>
      <c r="B24" s="1" t="s">
        <v>283</v>
      </c>
      <c r="C24" s="27" t="s">
        <v>234</v>
      </c>
      <c r="D24" s="1" t="s">
        <v>72</v>
      </c>
      <c r="E24" s="33"/>
      <c r="F24" s="6">
        <v>9.6</v>
      </c>
      <c r="G24" s="7"/>
      <c r="K24" s="27" t="s">
        <v>245</v>
      </c>
    </row>
    <row r="25" spans="1:13">
      <c r="A25" s="1" t="str">
        <f t="shared" si="0"/>
        <v>JAS機械等級区分構造用製材えぞまつE90</v>
      </c>
      <c r="B25" s="1" t="s">
        <v>283</v>
      </c>
      <c r="C25" s="27" t="s">
        <v>234</v>
      </c>
      <c r="D25" s="1" t="s">
        <v>61</v>
      </c>
      <c r="E25" s="33"/>
      <c r="F25" s="6">
        <v>16.8</v>
      </c>
      <c r="G25" s="7"/>
      <c r="K25" s="27" t="s">
        <v>246</v>
      </c>
    </row>
    <row r="26" spans="1:13">
      <c r="A26" s="1" t="str">
        <f t="shared" si="0"/>
        <v>JAS機械等級区分構造用製材えぞまつE110</v>
      </c>
      <c r="B26" s="1" t="s">
        <v>283</v>
      </c>
      <c r="C26" s="27" t="s">
        <v>234</v>
      </c>
      <c r="D26" s="1" t="s">
        <v>63</v>
      </c>
      <c r="E26" s="33"/>
      <c r="F26" s="6">
        <v>24.6</v>
      </c>
      <c r="G26" s="7"/>
      <c r="K26" s="27" t="s">
        <v>247</v>
      </c>
    </row>
    <row r="27" spans="1:13">
      <c r="A27" s="1" t="str">
        <f t="shared" si="0"/>
        <v>JAS機械等級区分構造用製材えぞまつE130</v>
      </c>
      <c r="B27" s="1" t="s">
        <v>283</v>
      </c>
      <c r="C27" s="27" t="s">
        <v>234</v>
      </c>
      <c r="D27" s="1" t="s">
        <v>64</v>
      </c>
      <c r="E27" s="33"/>
      <c r="F27" s="6">
        <v>31.8</v>
      </c>
      <c r="G27" s="7"/>
    </row>
    <row r="28" spans="1:13">
      <c r="A28" s="1" t="str">
        <f t="shared" si="0"/>
        <v xml:space="preserve">JAS機械等級区分構造用製材えぞまつE150 </v>
      </c>
      <c r="B28" s="1" t="s">
        <v>283</v>
      </c>
      <c r="C28" s="27" t="s">
        <v>234</v>
      </c>
      <c r="D28" s="1" t="s">
        <v>62</v>
      </c>
      <c r="E28" s="33"/>
      <c r="F28" s="6">
        <v>39</v>
      </c>
      <c r="G28" s="7"/>
      <c r="I28" s="1" t="s">
        <v>250</v>
      </c>
      <c r="J28" s="29" t="s">
        <v>251</v>
      </c>
      <c r="K28" s="31" t="s">
        <v>252</v>
      </c>
      <c r="L28" s="24" t="s">
        <v>253</v>
      </c>
      <c r="M28" s="24" t="s">
        <v>254</v>
      </c>
    </row>
    <row r="29" spans="1:13">
      <c r="A29" s="1" t="str">
        <f t="shared" si="0"/>
        <v>JAS機械等級区分構造用製材とどまつE70</v>
      </c>
      <c r="B29" s="1" t="s">
        <v>283</v>
      </c>
      <c r="C29" s="27" t="s">
        <v>235</v>
      </c>
      <c r="D29" s="1" t="s">
        <v>72</v>
      </c>
      <c r="E29" s="33"/>
      <c r="F29" s="6">
        <v>9.6</v>
      </c>
      <c r="G29" s="7"/>
      <c r="I29" s="1" t="s">
        <v>65</v>
      </c>
      <c r="J29" s="1" t="s">
        <v>48</v>
      </c>
      <c r="K29" s="31" t="s">
        <v>172</v>
      </c>
      <c r="L29" s="30" t="str">
        <f>E118&amp;C118</f>
        <v>E190-F615(4層以上)</v>
      </c>
      <c r="M29" s="30" t="str">
        <f t="shared" ref="M29:M57" si="1">D155&amp;"　"&amp;E155</f>
        <v>180E　特級</v>
      </c>
    </row>
    <row r="30" spans="1:13">
      <c r="A30" s="1" t="str">
        <f t="shared" si="0"/>
        <v>JAS機械等級区分構造用製材とどまつE90</v>
      </c>
      <c r="B30" s="1" t="s">
        <v>283</v>
      </c>
      <c r="C30" s="27" t="s">
        <v>235</v>
      </c>
      <c r="D30" s="1" t="s">
        <v>61</v>
      </c>
      <c r="E30" s="33"/>
      <c r="F30" s="6">
        <v>16.8</v>
      </c>
      <c r="G30" s="7"/>
      <c r="I30" s="1" t="s">
        <v>66</v>
      </c>
      <c r="J30" s="1" t="s">
        <v>49</v>
      </c>
      <c r="L30" s="30" t="str">
        <f t="shared" ref="L30:L54" si="2">E119&amp;C119</f>
        <v>E170-F540(4層以上)</v>
      </c>
      <c r="M30" s="30" t="str">
        <f t="shared" si="1"/>
        <v>180E　一級</v>
      </c>
    </row>
    <row r="31" spans="1:13">
      <c r="A31" s="1" t="str">
        <f t="shared" si="0"/>
        <v>JAS機械等級区分構造用製材とどまつE110</v>
      </c>
      <c r="B31" s="1" t="s">
        <v>283</v>
      </c>
      <c r="C31" s="27" t="s">
        <v>235</v>
      </c>
      <c r="D31" s="1" t="s">
        <v>63</v>
      </c>
      <c r="E31" s="33"/>
      <c r="F31" s="6">
        <v>24.6</v>
      </c>
      <c r="G31" s="7"/>
      <c r="I31" s="1" t="s">
        <v>61</v>
      </c>
      <c r="J31" s="1" t="s">
        <v>50</v>
      </c>
      <c r="L31" s="30" t="str">
        <f t="shared" si="2"/>
        <v>E150-F465(4層以上)</v>
      </c>
      <c r="M31" s="30" t="str">
        <f t="shared" si="1"/>
        <v>180E　二級</v>
      </c>
    </row>
    <row r="32" spans="1:13">
      <c r="A32" s="1" t="str">
        <f t="shared" si="0"/>
        <v>JAS機械等級区分構造用製材とどまつE130</v>
      </c>
      <c r="B32" s="1" t="s">
        <v>283</v>
      </c>
      <c r="C32" s="27" t="s">
        <v>235</v>
      </c>
      <c r="D32" s="1" t="s">
        <v>64</v>
      </c>
      <c r="E32" s="33"/>
      <c r="F32" s="6">
        <v>31.8</v>
      </c>
      <c r="G32" s="7"/>
      <c r="I32" s="1" t="s">
        <v>63</v>
      </c>
      <c r="L32" s="30" t="str">
        <f t="shared" si="2"/>
        <v>E135-F405(4層以上)</v>
      </c>
      <c r="M32" s="30" t="str">
        <f t="shared" si="1"/>
        <v>160E　特級</v>
      </c>
    </row>
    <row r="33" spans="1:13">
      <c r="A33" s="1" t="str">
        <f t="shared" si="0"/>
        <v xml:space="preserve">JAS機械等級区分構造用製材とどまつE150 </v>
      </c>
      <c r="B33" s="1" t="s">
        <v>283</v>
      </c>
      <c r="C33" s="27" t="s">
        <v>235</v>
      </c>
      <c r="D33" s="1" t="s">
        <v>62</v>
      </c>
      <c r="E33" s="33"/>
      <c r="F33" s="6">
        <v>39</v>
      </c>
      <c r="G33" s="7"/>
      <c r="I33" s="1" t="s">
        <v>64</v>
      </c>
      <c r="L33" s="30" t="str">
        <f t="shared" si="2"/>
        <v>E120-F375(4層以上)</v>
      </c>
      <c r="M33" s="30" t="str">
        <f t="shared" si="1"/>
        <v>160E　一級</v>
      </c>
    </row>
    <row r="34" spans="1:13">
      <c r="A34" s="1" t="str">
        <f t="shared" si="0"/>
        <v>JAS機械等級区分構造用製材からまつE50</v>
      </c>
      <c r="B34" s="1" t="s">
        <v>283</v>
      </c>
      <c r="C34" s="27" t="s">
        <v>53</v>
      </c>
      <c r="D34" s="1" t="s">
        <v>65</v>
      </c>
      <c r="E34" s="35"/>
      <c r="F34" s="6">
        <v>11.4</v>
      </c>
      <c r="I34" s="1" t="s">
        <v>62</v>
      </c>
      <c r="L34" s="30" t="str">
        <f t="shared" si="2"/>
        <v>E105-F345(4層以上)</v>
      </c>
      <c r="M34" s="30" t="str">
        <f t="shared" si="1"/>
        <v>160E　二級</v>
      </c>
    </row>
    <row r="35" spans="1:13">
      <c r="A35" s="1" t="str">
        <f t="shared" si="0"/>
        <v>JAS機械等級区分構造用製材からまつE70</v>
      </c>
      <c r="B35" s="1" t="s">
        <v>283</v>
      </c>
      <c r="C35" s="27" t="s">
        <v>53</v>
      </c>
      <c r="D35" s="1" t="s">
        <v>66</v>
      </c>
      <c r="E35" s="35"/>
      <c r="F35" s="6">
        <v>18</v>
      </c>
      <c r="L35" s="30" t="str">
        <f t="shared" si="2"/>
        <v>E95-F315(4層以上)</v>
      </c>
      <c r="M35" s="30" t="str">
        <f t="shared" si="1"/>
        <v>140E　特級</v>
      </c>
    </row>
    <row r="36" spans="1:13">
      <c r="A36" s="1" t="str">
        <f t="shared" ref="A36:A57" si="3">B36&amp;C36&amp;D36</f>
        <v>JAS機械等級区分構造用製材からまつE90</v>
      </c>
      <c r="B36" s="1" t="s">
        <v>283</v>
      </c>
      <c r="C36" s="27" t="s">
        <v>53</v>
      </c>
      <c r="D36" s="1" t="s">
        <v>61</v>
      </c>
      <c r="E36" s="35"/>
      <c r="F36" s="6">
        <v>24.6</v>
      </c>
      <c r="L36" s="30" t="str">
        <f t="shared" si="2"/>
        <v>E85-F300(4層以上)</v>
      </c>
      <c r="M36" s="30" t="str">
        <f t="shared" si="1"/>
        <v>140E　一級</v>
      </c>
    </row>
    <row r="37" spans="1:13">
      <c r="A37" s="1" t="str">
        <f t="shared" si="3"/>
        <v>JAS機械等級区分構造用製材からまつE110</v>
      </c>
      <c r="B37" s="1" t="s">
        <v>283</v>
      </c>
      <c r="C37" s="27" t="s">
        <v>53</v>
      </c>
      <c r="D37" s="1" t="s">
        <v>63</v>
      </c>
      <c r="E37" s="35"/>
      <c r="F37" s="6">
        <v>31.2</v>
      </c>
      <c r="L37" s="30" t="str">
        <f t="shared" si="2"/>
        <v>E75-F270(4層以上)</v>
      </c>
      <c r="M37" s="30" t="str">
        <f t="shared" si="1"/>
        <v>140E　二級</v>
      </c>
    </row>
    <row r="38" spans="1:13">
      <c r="A38" s="1" t="str">
        <f t="shared" si="3"/>
        <v>JAS機械等級区分構造用製材からまつE130</v>
      </c>
      <c r="B38" s="1" t="s">
        <v>283</v>
      </c>
      <c r="C38" s="27" t="s">
        <v>53</v>
      </c>
      <c r="D38" s="1" t="s">
        <v>64</v>
      </c>
      <c r="E38" s="35"/>
      <c r="F38" s="6">
        <v>37.799999999999997</v>
      </c>
      <c r="L38" s="30" t="str">
        <f t="shared" si="2"/>
        <v>E65-F255(4層以上)</v>
      </c>
      <c r="M38" s="30" t="str">
        <f t="shared" si="1"/>
        <v>120E　特級</v>
      </c>
    </row>
    <row r="39" spans="1:13">
      <c r="A39" s="1" t="str">
        <f t="shared" si="3"/>
        <v xml:space="preserve">JAS機械等級区分構造用製材からまつE150 </v>
      </c>
      <c r="B39" s="1" t="s">
        <v>283</v>
      </c>
      <c r="C39" s="27" t="s">
        <v>53</v>
      </c>
      <c r="D39" s="1" t="s">
        <v>62</v>
      </c>
      <c r="E39" s="35"/>
      <c r="F39" s="6">
        <v>44.4</v>
      </c>
      <c r="L39" s="30" t="str">
        <f t="shared" si="2"/>
        <v>E55-F225(4層以上)</v>
      </c>
      <c r="M39" s="30" t="str">
        <f t="shared" si="1"/>
        <v>120E　一級</v>
      </c>
    </row>
    <row r="40" spans="1:13">
      <c r="A40" s="1" t="str">
        <f t="shared" si="3"/>
        <v>JAS機械等級区分構造用製材ひのきE50</v>
      </c>
      <c r="B40" s="1" t="s">
        <v>283</v>
      </c>
      <c r="C40" s="27" t="s">
        <v>56</v>
      </c>
      <c r="D40" s="1" t="s">
        <v>65</v>
      </c>
      <c r="E40" s="35"/>
      <c r="F40" s="6">
        <v>11.4</v>
      </c>
      <c r="L40" s="30" t="str">
        <f t="shared" si="2"/>
        <v>E190-F555(3層)</v>
      </c>
      <c r="M40" s="30" t="str">
        <f t="shared" si="1"/>
        <v>120E　二級</v>
      </c>
    </row>
    <row r="41" spans="1:13">
      <c r="A41" s="1" t="str">
        <f t="shared" si="3"/>
        <v>JAS機械等級区分構造用製材ひのきE70</v>
      </c>
      <c r="B41" s="1" t="s">
        <v>283</v>
      </c>
      <c r="C41" s="27" t="s">
        <v>56</v>
      </c>
      <c r="D41" s="1" t="s">
        <v>66</v>
      </c>
      <c r="E41" s="35"/>
      <c r="F41" s="6">
        <v>18</v>
      </c>
      <c r="L41" s="30" t="str">
        <f t="shared" si="2"/>
        <v>E170-F495(3層)</v>
      </c>
      <c r="M41" s="30" t="str">
        <f t="shared" si="1"/>
        <v>110E　特級</v>
      </c>
    </row>
    <row r="42" spans="1:13">
      <c r="A42" s="1" t="str">
        <f t="shared" si="3"/>
        <v>JAS機械等級区分構造用製材ひのきE90</v>
      </c>
      <c r="B42" s="1" t="s">
        <v>283</v>
      </c>
      <c r="C42" s="27" t="s">
        <v>56</v>
      </c>
      <c r="D42" s="1" t="s">
        <v>61</v>
      </c>
      <c r="E42" s="35"/>
      <c r="F42" s="6">
        <v>24.6</v>
      </c>
      <c r="L42" s="30" t="str">
        <f t="shared" si="2"/>
        <v>E150-F435(3層)</v>
      </c>
      <c r="M42" s="30" t="str">
        <f t="shared" si="1"/>
        <v>110E　一級</v>
      </c>
    </row>
    <row r="43" spans="1:13">
      <c r="A43" s="1" t="str">
        <f t="shared" si="3"/>
        <v>JAS機械等級区分構造用製材ひのきE110</v>
      </c>
      <c r="B43" s="1" t="s">
        <v>283</v>
      </c>
      <c r="C43" s="27" t="s">
        <v>56</v>
      </c>
      <c r="D43" s="1" t="s">
        <v>63</v>
      </c>
      <c r="E43" s="35"/>
      <c r="F43" s="6">
        <v>31.2</v>
      </c>
      <c r="L43" s="30" t="str">
        <f t="shared" si="2"/>
        <v>E135-F375(3層)</v>
      </c>
      <c r="M43" s="30" t="str">
        <f t="shared" si="1"/>
        <v>110E　二級</v>
      </c>
    </row>
    <row r="44" spans="1:13">
      <c r="A44" s="1" t="str">
        <f t="shared" si="3"/>
        <v>JAS機械等級区分構造用製材ひのきE130</v>
      </c>
      <c r="B44" s="1" t="s">
        <v>283</v>
      </c>
      <c r="C44" s="27" t="s">
        <v>56</v>
      </c>
      <c r="D44" s="1" t="s">
        <v>64</v>
      </c>
      <c r="E44" s="35"/>
      <c r="F44" s="6">
        <v>37.799999999999997</v>
      </c>
      <c r="L44" s="30" t="str">
        <f t="shared" si="2"/>
        <v>E120-F330(3層)</v>
      </c>
      <c r="M44" s="30" t="str">
        <f t="shared" si="1"/>
        <v>100E　特級</v>
      </c>
    </row>
    <row r="45" spans="1:13">
      <c r="A45" s="1" t="str">
        <f t="shared" si="3"/>
        <v xml:space="preserve">JAS機械等級区分構造用製材ひのきE150 </v>
      </c>
      <c r="B45" s="1" t="s">
        <v>283</v>
      </c>
      <c r="C45" s="27" t="s">
        <v>56</v>
      </c>
      <c r="D45" s="1" t="s">
        <v>62</v>
      </c>
      <c r="E45" s="35"/>
      <c r="F45" s="6">
        <v>44.4</v>
      </c>
      <c r="L45" s="30" t="str">
        <f t="shared" si="2"/>
        <v>E105-F300(3層)</v>
      </c>
      <c r="M45" s="30" t="str">
        <f t="shared" si="1"/>
        <v>100E　一級</v>
      </c>
    </row>
    <row r="46" spans="1:13">
      <c r="A46" s="1" t="str">
        <f t="shared" si="3"/>
        <v>JAS機械等級区分構造用製材ひばE50</v>
      </c>
      <c r="B46" s="1" t="s">
        <v>283</v>
      </c>
      <c r="C46" s="27" t="s">
        <v>55</v>
      </c>
      <c r="D46" s="1" t="s">
        <v>65</v>
      </c>
      <c r="E46" s="35"/>
      <c r="F46" s="6">
        <v>11.4</v>
      </c>
      <c r="L46" s="30" t="str">
        <f t="shared" si="2"/>
        <v>E95-F285(3層)</v>
      </c>
      <c r="M46" s="30" t="str">
        <f t="shared" si="1"/>
        <v>100E　二級</v>
      </c>
    </row>
    <row r="47" spans="1:13">
      <c r="A47" s="1" t="str">
        <f t="shared" si="3"/>
        <v>JAS機械等級区分構造用製材ひばE70</v>
      </c>
      <c r="B47" s="1" t="s">
        <v>283</v>
      </c>
      <c r="C47" s="27" t="s">
        <v>55</v>
      </c>
      <c r="D47" s="1" t="s">
        <v>66</v>
      </c>
      <c r="E47" s="35"/>
      <c r="F47" s="6">
        <v>18</v>
      </c>
      <c r="L47" s="30" t="str">
        <f t="shared" si="2"/>
        <v>E85-F270(3層)</v>
      </c>
      <c r="M47" s="30" t="str">
        <f t="shared" si="1"/>
        <v>90E　特級</v>
      </c>
    </row>
    <row r="48" spans="1:13">
      <c r="A48" s="1" t="str">
        <f t="shared" si="3"/>
        <v>JAS機械等級区分構造用製材ひばE90</v>
      </c>
      <c r="B48" s="1" t="s">
        <v>283</v>
      </c>
      <c r="C48" s="27" t="s">
        <v>55</v>
      </c>
      <c r="D48" s="1" t="s">
        <v>61</v>
      </c>
      <c r="E48" s="35"/>
      <c r="F48" s="6">
        <v>24.6</v>
      </c>
      <c r="L48" s="30" t="str">
        <f t="shared" si="2"/>
        <v>E75-F255(3層)</v>
      </c>
      <c r="M48" s="30" t="str">
        <f t="shared" si="1"/>
        <v>90E　一級</v>
      </c>
    </row>
    <row r="49" spans="1:16">
      <c r="A49" s="1" t="str">
        <f t="shared" si="3"/>
        <v>JAS機械等級区分構造用製材ひばE110</v>
      </c>
      <c r="B49" s="1" t="s">
        <v>283</v>
      </c>
      <c r="C49" s="27" t="s">
        <v>55</v>
      </c>
      <c r="D49" s="1" t="s">
        <v>63</v>
      </c>
      <c r="E49" s="35"/>
      <c r="F49" s="6">
        <v>31.2</v>
      </c>
      <c r="L49" s="30" t="str">
        <f t="shared" si="2"/>
        <v>E65-F240(3層)</v>
      </c>
      <c r="M49" s="30" t="str">
        <f t="shared" si="1"/>
        <v>90E　二級</v>
      </c>
    </row>
    <row r="50" spans="1:16">
      <c r="A50" s="1" t="str">
        <f t="shared" si="3"/>
        <v>JAS機械等級区分構造用製材ひばE130</v>
      </c>
      <c r="B50" s="1" t="s">
        <v>283</v>
      </c>
      <c r="C50" s="27" t="s">
        <v>55</v>
      </c>
      <c r="D50" s="1" t="s">
        <v>64</v>
      </c>
      <c r="E50" s="35"/>
      <c r="F50" s="6">
        <v>37.799999999999997</v>
      </c>
      <c r="G50" s="13"/>
      <c r="L50" s="30" t="str">
        <f t="shared" si="2"/>
        <v>E55-F225(3層)</v>
      </c>
      <c r="M50" s="30" t="str">
        <f t="shared" si="1"/>
        <v>80E　特級</v>
      </c>
    </row>
    <row r="51" spans="1:16">
      <c r="A51" s="1" t="str">
        <f t="shared" si="3"/>
        <v xml:space="preserve">JAS機械等級区分構造用製材ひばE150 </v>
      </c>
      <c r="B51" s="1" t="s">
        <v>283</v>
      </c>
      <c r="C51" s="27" t="s">
        <v>55</v>
      </c>
      <c r="D51" s="1" t="s">
        <v>62</v>
      </c>
      <c r="E51" s="35"/>
      <c r="F51" s="6">
        <v>44.4</v>
      </c>
      <c r="L51" s="30" t="str">
        <f t="shared" si="2"/>
        <v>E190-F510(2層)</v>
      </c>
      <c r="M51" s="30" t="str">
        <f t="shared" si="1"/>
        <v>80E　一級</v>
      </c>
    </row>
    <row r="52" spans="1:16">
      <c r="A52" s="1" t="str">
        <f t="shared" si="3"/>
        <v>JAS機械等級区分構造用製材すぎE50</v>
      </c>
      <c r="B52" s="1" t="s">
        <v>283</v>
      </c>
      <c r="C52" s="27" t="s">
        <v>59</v>
      </c>
      <c r="D52" s="1" t="s">
        <v>65</v>
      </c>
      <c r="E52" s="36"/>
      <c r="F52" s="6">
        <v>19.2</v>
      </c>
      <c r="L52" s="30" t="str">
        <f t="shared" si="2"/>
        <v>E170-F450(2層)</v>
      </c>
      <c r="M52" s="30" t="str">
        <f t="shared" si="1"/>
        <v>80E　二級</v>
      </c>
    </row>
    <row r="53" spans="1:16">
      <c r="A53" s="1" t="str">
        <f t="shared" si="3"/>
        <v>JAS機械等級区分構造用製材すぎE70</v>
      </c>
      <c r="B53" s="1" t="s">
        <v>283</v>
      </c>
      <c r="C53" s="27" t="s">
        <v>59</v>
      </c>
      <c r="D53" s="1" t="s">
        <v>66</v>
      </c>
      <c r="E53" s="36"/>
      <c r="F53" s="6">
        <v>23.4</v>
      </c>
      <c r="L53" s="30" t="str">
        <f t="shared" si="2"/>
        <v>E150-F390(2層)</v>
      </c>
      <c r="M53" s="30" t="str">
        <f t="shared" si="1"/>
        <v>70E　特級</v>
      </c>
    </row>
    <row r="54" spans="1:16">
      <c r="A54" s="1" t="str">
        <f t="shared" si="3"/>
        <v>JAS機械等級区分構造用製材すぎE90</v>
      </c>
      <c r="B54" s="1" t="s">
        <v>283</v>
      </c>
      <c r="C54" s="27" t="s">
        <v>59</v>
      </c>
      <c r="D54" s="1" t="s">
        <v>61</v>
      </c>
      <c r="E54" s="36"/>
      <c r="F54" s="6">
        <v>28.2</v>
      </c>
      <c r="G54" s="13"/>
      <c r="L54" s="30" t="str">
        <f t="shared" si="2"/>
        <v>E135-F345(2層)</v>
      </c>
      <c r="M54" s="30" t="str">
        <f t="shared" si="1"/>
        <v>70E　一級</v>
      </c>
    </row>
    <row r="55" spans="1:16">
      <c r="A55" s="1" t="str">
        <f t="shared" si="3"/>
        <v>JAS機械等級区分構造用製材すぎE110</v>
      </c>
      <c r="B55" s="1" t="s">
        <v>283</v>
      </c>
      <c r="C55" s="27" t="s">
        <v>59</v>
      </c>
      <c r="D55" s="1" t="s">
        <v>63</v>
      </c>
      <c r="E55" s="36"/>
      <c r="F55" s="6">
        <v>32.4</v>
      </c>
      <c r="G55" s="13"/>
      <c r="L55" s="30" t="str">
        <f>E144&amp;C144</f>
        <v>E120-F300(2層)</v>
      </c>
      <c r="M55" s="30" t="str">
        <f t="shared" si="1"/>
        <v>70E　二級</v>
      </c>
      <c r="N55" s="2"/>
      <c r="O55" s="2"/>
      <c r="P55" s="16"/>
    </row>
    <row r="56" spans="1:16" ht="20.100000000000001" customHeight="1">
      <c r="A56" s="1" t="str">
        <f t="shared" si="3"/>
        <v>JAS機械等級区分構造用製材すぎE130</v>
      </c>
      <c r="B56" s="1" t="s">
        <v>283</v>
      </c>
      <c r="C56" s="27" t="s">
        <v>59</v>
      </c>
      <c r="D56" s="1" t="s">
        <v>64</v>
      </c>
      <c r="E56" s="36"/>
      <c r="F56" s="6">
        <v>37.200000000000003</v>
      </c>
      <c r="I56" s="2"/>
      <c r="L56" s="30" t="str">
        <f>E145&amp;C145</f>
        <v>E105-F285(2層)</v>
      </c>
      <c r="M56" s="30" t="str">
        <f t="shared" si="1"/>
        <v>60E　特級</v>
      </c>
      <c r="N56" s="2"/>
      <c r="O56" s="2"/>
      <c r="P56" s="16"/>
    </row>
    <row r="57" spans="1:16" ht="20.100000000000001" customHeight="1">
      <c r="A57" s="1" t="str">
        <f t="shared" si="3"/>
        <v xml:space="preserve">JAS機械等級区分構造用製材すぎE150 </v>
      </c>
      <c r="B57" s="1" t="s">
        <v>283</v>
      </c>
      <c r="C57" s="27" t="s">
        <v>59</v>
      </c>
      <c r="D57" s="1" t="s">
        <v>62</v>
      </c>
      <c r="E57" s="36"/>
      <c r="F57" s="6">
        <v>41.4</v>
      </c>
      <c r="I57" s="2"/>
      <c r="J57"/>
      <c r="L57" s="30" t="str">
        <f>E146&amp;C146</f>
        <v>E95-F270(2層)</v>
      </c>
      <c r="M57" s="30" t="str">
        <f t="shared" si="1"/>
        <v>60E　一級</v>
      </c>
      <c r="N57" s="2"/>
      <c r="O57" s="2"/>
      <c r="P57" s="16"/>
    </row>
    <row r="58" spans="1:16" ht="20.100000000000001" customHeight="1">
      <c r="I58" s="2"/>
      <c r="J58"/>
      <c r="L58" s="30" t="str">
        <f t="shared" ref="L58:L61" si="4">E147&amp;C147</f>
        <v>E85-F255(2層)</v>
      </c>
      <c r="M58" s="30" t="str">
        <f t="shared" ref="M58:M61" si="5">D184&amp;"　"&amp;E184</f>
        <v>60E　二級</v>
      </c>
      <c r="N58" s="2"/>
      <c r="O58" s="2"/>
      <c r="P58" s="16"/>
    </row>
    <row r="59" spans="1:16" ht="20.100000000000001" customHeight="1">
      <c r="I59" s="2"/>
      <c r="J59"/>
      <c r="L59" s="30" t="str">
        <f t="shared" si="4"/>
        <v>E75-F240(2層)</v>
      </c>
      <c r="M59" s="30" t="str">
        <f t="shared" si="5"/>
        <v>50E　特級</v>
      </c>
      <c r="N59" s="2"/>
      <c r="O59" s="2"/>
      <c r="P59" s="16"/>
    </row>
    <row r="60" spans="1:16" ht="20.100000000000001" customHeight="1">
      <c r="E60" s="2"/>
      <c r="F60" s="2"/>
      <c r="I60" s="2"/>
      <c r="J60"/>
      <c r="L60" s="30" t="str">
        <f t="shared" si="4"/>
        <v>E65-F225(2層)</v>
      </c>
      <c r="M60" s="30" t="str">
        <f t="shared" si="5"/>
        <v>50E　一級</v>
      </c>
      <c r="N60" s="2"/>
      <c r="O60" s="2"/>
      <c r="P60" s="16"/>
    </row>
    <row r="61" spans="1:16" ht="20.100000000000001" customHeight="1">
      <c r="A61" s="3" t="s">
        <v>284</v>
      </c>
      <c r="B61" s="3" t="s">
        <v>226</v>
      </c>
      <c r="C61" s="27" t="s">
        <v>46</v>
      </c>
      <c r="D61" s="23" t="s">
        <v>45</v>
      </c>
      <c r="E61" s="23" t="s">
        <v>47</v>
      </c>
      <c r="F61" s="32" t="s">
        <v>285</v>
      </c>
      <c r="I61" s="2"/>
      <c r="J61"/>
      <c r="L61" s="30" t="str">
        <f t="shared" si="4"/>
        <v>E55-F200(2層)</v>
      </c>
      <c r="M61" s="30" t="str">
        <f t="shared" si="5"/>
        <v>50E　二級</v>
      </c>
      <c r="N61" s="2"/>
      <c r="O61" s="2"/>
      <c r="P61" s="16"/>
    </row>
    <row r="62" spans="1:16">
      <c r="A62" s="1" t="str">
        <f>B62&amp;C62&amp;E62</f>
        <v>JAS目視等級区分構造用製材あかまつ一級</v>
      </c>
      <c r="B62" s="1" t="s">
        <v>224</v>
      </c>
      <c r="C62" s="27" t="s">
        <v>51</v>
      </c>
      <c r="D62" s="926" t="s">
        <v>60</v>
      </c>
      <c r="E62" s="1" t="s">
        <v>48</v>
      </c>
      <c r="F62" s="6">
        <v>27</v>
      </c>
      <c r="I62" s="2"/>
      <c r="J62"/>
      <c r="L62" s="25" t="str">
        <f>C151&amp;E151</f>
        <v/>
      </c>
      <c r="M62" s="25"/>
    </row>
    <row r="63" spans="1:16">
      <c r="A63" s="1" t="str">
        <f t="shared" ref="A63:A88" si="6">B63&amp;C63&amp;E63</f>
        <v>JAS目視等級区分構造用製材あかまつ二級</v>
      </c>
      <c r="B63" s="1" t="s">
        <v>224</v>
      </c>
      <c r="C63" s="27" t="s">
        <v>51</v>
      </c>
      <c r="D63" s="926"/>
      <c r="E63" s="1" t="s">
        <v>49</v>
      </c>
      <c r="F63" s="6">
        <v>16.8</v>
      </c>
      <c r="J63"/>
      <c r="L63" s="25" t="str">
        <f>C152&amp;E152</f>
        <v/>
      </c>
      <c r="M63" s="25"/>
    </row>
    <row r="64" spans="1:16">
      <c r="A64" s="1" t="str">
        <f t="shared" si="6"/>
        <v>JAS目視等級区分構造用製材あかまつ三級</v>
      </c>
      <c r="B64" s="1" t="s">
        <v>224</v>
      </c>
      <c r="C64" s="27" t="s">
        <v>51</v>
      </c>
      <c r="D64" s="926"/>
      <c r="E64" s="1" t="s">
        <v>50</v>
      </c>
      <c r="F64" s="6">
        <v>11.4</v>
      </c>
      <c r="M64" s="25"/>
    </row>
    <row r="65" spans="1:13">
      <c r="A65" s="1" t="str">
        <f t="shared" si="6"/>
        <v>JAS目視等級区分構造用製材べいまつ一級</v>
      </c>
      <c r="B65" s="1" t="s">
        <v>224</v>
      </c>
      <c r="C65" s="27" t="s">
        <v>52</v>
      </c>
      <c r="D65" s="926" t="s">
        <v>60</v>
      </c>
      <c r="E65" s="1" t="s">
        <v>48</v>
      </c>
      <c r="F65" s="6">
        <v>27</v>
      </c>
      <c r="M65" s="25"/>
    </row>
    <row r="66" spans="1:13">
      <c r="A66" s="1" t="str">
        <f t="shared" si="6"/>
        <v>JAS目視等級区分構造用製材べいまつ二級</v>
      </c>
      <c r="B66" s="1" t="s">
        <v>224</v>
      </c>
      <c r="C66" s="27" t="s">
        <v>52</v>
      </c>
      <c r="D66" s="904"/>
      <c r="E66" s="1" t="s">
        <v>49</v>
      </c>
      <c r="F66" s="6">
        <v>18</v>
      </c>
      <c r="M66" s="25"/>
    </row>
    <row r="67" spans="1:13">
      <c r="A67" s="1" t="str">
        <f t="shared" si="6"/>
        <v>JAS目視等級区分構造用製材べいまつ三級</v>
      </c>
      <c r="B67" s="1" t="s">
        <v>224</v>
      </c>
      <c r="C67" s="27" t="s">
        <v>52</v>
      </c>
      <c r="D67" s="904"/>
      <c r="E67" s="1" t="s">
        <v>50</v>
      </c>
      <c r="F67" s="6">
        <v>13.8</v>
      </c>
    </row>
    <row r="68" spans="1:13">
      <c r="A68" s="1" t="str">
        <f t="shared" si="6"/>
        <v>JAS目視等級区分構造用製材からまつ一級</v>
      </c>
      <c r="B68" s="1" t="s">
        <v>224</v>
      </c>
      <c r="C68" s="27" t="s">
        <v>53</v>
      </c>
      <c r="D68" s="926" t="s">
        <v>60</v>
      </c>
      <c r="E68" s="1" t="s">
        <v>48</v>
      </c>
      <c r="F68" s="6">
        <v>23.4</v>
      </c>
    </row>
    <row r="69" spans="1:13">
      <c r="A69" s="1" t="str">
        <f t="shared" si="6"/>
        <v>JAS目視等級区分構造用製材からまつ二級</v>
      </c>
      <c r="B69" s="1" t="s">
        <v>224</v>
      </c>
      <c r="C69" s="27" t="s">
        <v>53</v>
      </c>
      <c r="D69" s="904"/>
      <c r="E69" s="1" t="s">
        <v>49</v>
      </c>
      <c r="F69" s="6">
        <v>20.399999999999999</v>
      </c>
    </row>
    <row r="70" spans="1:13">
      <c r="A70" s="1" t="str">
        <f t="shared" si="6"/>
        <v>JAS目視等級区分構造用製材からまつ三級</v>
      </c>
      <c r="B70" s="1" t="s">
        <v>224</v>
      </c>
      <c r="C70" s="27" t="s">
        <v>53</v>
      </c>
      <c r="D70" s="904"/>
      <c r="E70" s="1" t="s">
        <v>50</v>
      </c>
      <c r="F70" s="6">
        <v>18.600000000000001</v>
      </c>
    </row>
    <row r="71" spans="1:13">
      <c r="A71" s="1" t="str">
        <f t="shared" si="6"/>
        <v>JAS目視等級区分構造用製材ダフリカからまつ一級</v>
      </c>
      <c r="B71" s="1" t="s">
        <v>224</v>
      </c>
      <c r="C71" s="27" t="s">
        <v>54</v>
      </c>
      <c r="D71" s="926" t="s">
        <v>60</v>
      </c>
      <c r="E71" s="1" t="s">
        <v>48</v>
      </c>
      <c r="F71" s="6">
        <v>28.8</v>
      </c>
      <c r="H71" s="16"/>
    </row>
    <row r="72" spans="1:13" ht="18.75" customHeight="1">
      <c r="A72" s="1" t="str">
        <f t="shared" si="6"/>
        <v>JAS目視等級区分構造用製材ダフリカからまつ二級</v>
      </c>
      <c r="B72" s="1" t="s">
        <v>224</v>
      </c>
      <c r="C72" s="27" t="s">
        <v>54</v>
      </c>
      <c r="D72" s="904"/>
      <c r="E72" s="1" t="s">
        <v>49</v>
      </c>
      <c r="F72" s="6">
        <v>25.2</v>
      </c>
      <c r="H72" s="16"/>
    </row>
    <row r="73" spans="1:13">
      <c r="A73" s="1" t="str">
        <f t="shared" si="6"/>
        <v>JAS目視等級区分構造用製材ダフリカからまつ三級</v>
      </c>
      <c r="B73" s="1" t="s">
        <v>224</v>
      </c>
      <c r="C73" s="27" t="s">
        <v>54</v>
      </c>
      <c r="D73" s="904"/>
      <c r="E73" s="1" t="s">
        <v>50</v>
      </c>
      <c r="F73" s="6">
        <v>22.2</v>
      </c>
      <c r="H73" s="16"/>
    </row>
    <row r="74" spans="1:13">
      <c r="A74" s="1" t="str">
        <f t="shared" si="6"/>
        <v>JAS目視等級区分構造用製材ひば一級</v>
      </c>
      <c r="B74" s="1" t="s">
        <v>224</v>
      </c>
      <c r="C74" s="27" t="s">
        <v>55</v>
      </c>
      <c r="D74" s="926" t="s">
        <v>60</v>
      </c>
      <c r="E74" s="1" t="s">
        <v>48</v>
      </c>
      <c r="F74" s="6">
        <v>28.2</v>
      </c>
      <c r="H74" s="16"/>
    </row>
    <row r="75" spans="1:13">
      <c r="A75" s="1" t="str">
        <f t="shared" si="6"/>
        <v>JAS目視等級区分構造用製材ひば二級</v>
      </c>
      <c r="B75" s="1" t="s">
        <v>224</v>
      </c>
      <c r="C75" s="27" t="s">
        <v>55</v>
      </c>
      <c r="D75" s="904"/>
      <c r="E75" s="1" t="s">
        <v>49</v>
      </c>
      <c r="F75" s="6">
        <v>27.6</v>
      </c>
      <c r="H75" s="16"/>
    </row>
    <row r="76" spans="1:13">
      <c r="A76" s="1" t="str">
        <f t="shared" si="6"/>
        <v>JAS目視等級区分構造用製材ひば三級</v>
      </c>
      <c r="B76" s="1" t="s">
        <v>224</v>
      </c>
      <c r="C76" s="27" t="s">
        <v>55</v>
      </c>
      <c r="D76" s="904"/>
      <c r="E76" s="1" t="s">
        <v>50</v>
      </c>
      <c r="F76" s="6">
        <v>23.4</v>
      </c>
      <c r="H76" s="16"/>
    </row>
    <row r="77" spans="1:13">
      <c r="A77" s="1" t="str">
        <f t="shared" si="6"/>
        <v>JAS目視等級区分構造用製材ひのき一級</v>
      </c>
      <c r="B77" s="1" t="s">
        <v>224</v>
      </c>
      <c r="C77" s="27" t="s">
        <v>56</v>
      </c>
      <c r="D77" s="926" t="s">
        <v>60</v>
      </c>
      <c r="E77" s="1" t="s">
        <v>48</v>
      </c>
      <c r="F77" s="6">
        <v>30.6</v>
      </c>
      <c r="H77" s="16"/>
    </row>
    <row r="78" spans="1:13">
      <c r="A78" s="1" t="str">
        <f t="shared" si="6"/>
        <v>JAS目視等級区分構造用製材ひのき二級</v>
      </c>
      <c r="B78" s="1" t="s">
        <v>224</v>
      </c>
      <c r="C78" s="27" t="s">
        <v>56</v>
      </c>
      <c r="D78" s="904"/>
      <c r="E78" s="1" t="s">
        <v>49</v>
      </c>
      <c r="F78" s="6">
        <v>27</v>
      </c>
    </row>
    <row r="79" spans="1:13">
      <c r="A79" s="1" t="str">
        <f t="shared" si="6"/>
        <v>JAS目視等級区分構造用製材ひのき三級</v>
      </c>
      <c r="B79" s="1" t="s">
        <v>224</v>
      </c>
      <c r="C79" s="27" t="s">
        <v>56</v>
      </c>
      <c r="D79" s="904"/>
      <c r="E79" s="1" t="s">
        <v>50</v>
      </c>
      <c r="F79" s="6">
        <v>23.4</v>
      </c>
    </row>
    <row r="80" spans="1:13">
      <c r="A80" s="1" t="str">
        <f t="shared" si="6"/>
        <v>JAS目視等級区分構造用製材べいつが一級</v>
      </c>
      <c r="B80" s="1" t="s">
        <v>224</v>
      </c>
      <c r="C80" s="27" t="s">
        <v>57</v>
      </c>
      <c r="D80" s="926" t="s">
        <v>60</v>
      </c>
      <c r="E80" s="1" t="s">
        <v>48</v>
      </c>
      <c r="F80" s="6">
        <v>21</v>
      </c>
    </row>
    <row r="81" spans="1:7">
      <c r="A81" s="1" t="str">
        <f t="shared" si="6"/>
        <v>JAS目視等級区分構造用製材べいつが二級</v>
      </c>
      <c r="B81" s="1" t="s">
        <v>224</v>
      </c>
      <c r="C81" s="27" t="s">
        <v>57</v>
      </c>
      <c r="D81" s="904"/>
      <c r="E81" s="1" t="s">
        <v>49</v>
      </c>
      <c r="F81" s="6">
        <v>21</v>
      </c>
    </row>
    <row r="82" spans="1:7">
      <c r="A82" s="1" t="str">
        <f t="shared" si="6"/>
        <v>JAS目視等級区分構造用製材べいつが三級</v>
      </c>
      <c r="B82" s="1" t="s">
        <v>224</v>
      </c>
      <c r="C82" s="27" t="s">
        <v>57</v>
      </c>
      <c r="D82" s="904"/>
      <c r="E82" s="1" t="s">
        <v>50</v>
      </c>
      <c r="F82" s="6">
        <v>17.399999999999999</v>
      </c>
    </row>
    <row r="83" spans="1:7">
      <c r="A83" s="1" t="str">
        <f t="shared" si="6"/>
        <v>JAS目視等級区分構造用製材えぞまつ及びとどまつ一級</v>
      </c>
      <c r="B83" s="1" t="s">
        <v>224</v>
      </c>
      <c r="C83" s="27" t="s">
        <v>58</v>
      </c>
      <c r="D83" s="926" t="s">
        <v>60</v>
      </c>
      <c r="E83" s="1" t="s">
        <v>48</v>
      </c>
      <c r="F83" s="6">
        <v>27</v>
      </c>
    </row>
    <row r="84" spans="1:7">
      <c r="A84" s="1" t="str">
        <f t="shared" si="6"/>
        <v>JAS目視等級区分構造用製材えぞまつ及びとどまつ二級</v>
      </c>
      <c r="B84" s="1" t="s">
        <v>224</v>
      </c>
      <c r="C84" s="27" t="s">
        <v>58</v>
      </c>
      <c r="D84" s="904"/>
      <c r="E84" s="1" t="s">
        <v>49</v>
      </c>
      <c r="F84" s="6">
        <v>22.8</v>
      </c>
    </row>
    <row r="85" spans="1:7">
      <c r="A85" s="1" t="str">
        <f t="shared" si="6"/>
        <v>JAS目視等級区分構造用製材えぞまつ及びとどまつ三級</v>
      </c>
      <c r="B85" s="1" t="s">
        <v>224</v>
      </c>
      <c r="C85" s="27" t="s">
        <v>58</v>
      </c>
      <c r="D85" s="904"/>
      <c r="E85" s="1" t="s">
        <v>50</v>
      </c>
      <c r="F85" s="6">
        <v>13.8</v>
      </c>
    </row>
    <row r="86" spans="1:7">
      <c r="A86" s="1" t="str">
        <f t="shared" si="6"/>
        <v>JAS目視等級区分構造用製材すぎ一級</v>
      </c>
      <c r="B86" s="1" t="s">
        <v>224</v>
      </c>
      <c r="C86" s="27" t="s">
        <v>59</v>
      </c>
      <c r="D86" s="926" t="s">
        <v>60</v>
      </c>
      <c r="E86" s="1" t="s">
        <v>48</v>
      </c>
      <c r="F86" s="6">
        <v>21.6</v>
      </c>
    </row>
    <row r="87" spans="1:7">
      <c r="A87" s="1" t="str">
        <f t="shared" si="6"/>
        <v>JAS目視等級区分構造用製材すぎ二級</v>
      </c>
      <c r="B87" s="1" t="s">
        <v>224</v>
      </c>
      <c r="C87" s="27" t="s">
        <v>59</v>
      </c>
      <c r="D87" s="904"/>
      <c r="E87" s="1" t="s">
        <v>49</v>
      </c>
      <c r="F87" s="6">
        <v>20.399999999999999</v>
      </c>
    </row>
    <row r="88" spans="1:7">
      <c r="A88" s="1" t="str">
        <f t="shared" si="6"/>
        <v>JAS目視等級区分構造用製材すぎ三級</v>
      </c>
      <c r="B88" s="1" t="s">
        <v>224</v>
      </c>
      <c r="C88" s="27" t="s">
        <v>59</v>
      </c>
      <c r="D88" s="904"/>
      <c r="E88" s="1" t="s">
        <v>50</v>
      </c>
      <c r="F88" s="6">
        <v>18</v>
      </c>
    </row>
    <row r="91" spans="1:7">
      <c r="A91" s="2"/>
      <c r="B91" s="2"/>
      <c r="C91" s="925" t="s">
        <v>67</v>
      </c>
      <c r="D91" s="925"/>
      <c r="E91" s="925"/>
      <c r="F91" s="925"/>
      <c r="G91" s="12"/>
    </row>
    <row r="92" spans="1:7" ht="20.25">
      <c r="A92" s="3" t="s">
        <v>284</v>
      </c>
      <c r="B92" s="3" t="s">
        <v>226</v>
      </c>
      <c r="C92" s="926" t="s">
        <v>46</v>
      </c>
      <c r="D92" s="926"/>
      <c r="E92" s="27"/>
      <c r="F92" s="32" t="s">
        <v>285</v>
      </c>
      <c r="G92" s="7"/>
    </row>
    <row r="93" spans="1:7" ht="18" customHeight="1">
      <c r="A93" s="1" t="str">
        <f>B93&amp;C93&amp;"ー"</f>
        <v>無等級材あかまつー</v>
      </c>
      <c r="B93" s="1" t="s">
        <v>228</v>
      </c>
      <c r="C93" s="26" t="s">
        <v>51</v>
      </c>
      <c r="D93" s="926" t="s">
        <v>68</v>
      </c>
      <c r="E93" s="27"/>
      <c r="F93" s="6">
        <v>22.2</v>
      </c>
      <c r="G93" s="7"/>
    </row>
    <row r="94" spans="1:7">
      <c r="A94" s="1" t="str">
        <f t="shared" ref="A94:A114" si="7">B94&amp;C94&amp;"ー"</f>
        <v>無等級材くろまつー</v>
      </c>
      <c r="B94" s="1" t="s">
        <v>228</v>
      </c>
      <c r="C94" s="26" t="s">
        <v>236</v>
      </c>
      <c r="D94" s="926"/>
      <c r="E94" s="26"/>
      <c r="F94" s="6">
        <v>22.2</v>
      </c>
      <c r="G94" s="7"/>
    </row>
    <row r="95" spans="1:7">
      <c r="A95" s="1" t="str">
        <f t="shared" si="7"/>
        <v>無等級材べいまつー</v>
      </c>
      <c r="B95" s="1" t="s">
        <v>228</v>
      </c>
      <c r="C95" s="26" t="s">
        <v>52</v>
      </c>
      <c r="D95" s="926"/>
      <c r="E95" s="26"/>
      <c r="F95" s="6">
        <v>22.2</v>
      </c>
      <c r="G95" s="7"/>
    </row>
    <row r="96" spans="1:7" ht="18" customHeight="1">
      <c r="A96" s="1" t="str">
        <f t="shared" si="7"/>
        <v>無等級材からまつー</v>
      </c>
      <c r="B96" s="1" t="s">
        <v>228</v>
      </c>
      <c r="C96" s="26" t="s">
        <v>53</v>
      </c>
      <c r="D96" s="926"/>
      <c r="E96" s="27"/>
      <c r="F96" s="6">
        <v>20.7</v>
      </c>
      <c r="G96" s="7"/>
    </row>
    <row r="97" spans="1:7">
      <c r="A97" s="1" t="str">
        <f t="shared" si="7"/>
        <v>無等級材ひばー</v>
      </c>
      <c r="B97" s="1" t="s">
        <v>228</v>
      </c>
      <c r="C97" s="26" t="s">
        <v>55</v>
      </c>
      <c r="D97" s="926"/>
      <c r="E97" s="26"/>
      <c r="F97" s="6">
        <v>20.7</v>
      </c>
      <c r="G97" s="7"/>
    </row>
    <row r="98" spans="1:7">
      <c r="A98" s="1" t="str">
        <f t="shared" si="7"/>
        <v>無等級材ひのきー</v>
      </c>
      <c r="B98" s="1" t="s">
        <v>228</v>
      </c>
      <c r="C98" s="26" t="s">
        <v>56</v>
      </c>
      <c r="D98" s="926"/>
      <c r="E98" s="26"/>
      <c r="F98" s="6">
        <v>20.7</v>
      </c>
      <c r="G98" s="7"/>
    </row>
    <row r="99" spans="1:7">
      <c r="A99" s="1" t="str">
        <f t="shared" si="7"/>
        <v>無等級材べいひー</v>
      </c>
      <c r="B99" s="1" t="s">
        <v>228</v>
      </c>
      <c r="C99" s="26" t="s">
        <v>237</v>
      </c>
      <c r="D99" s="926"/>
      <c r="E99" s="26"/>
      <c r="F99" s="6">
        <v>20.7</v>
      </c>
      <c r="G99" s="7"/>
    </row>
    <row r="100" spans="1:7">
      <c r="A100" s="1" t="str">
        <f t="shared" si="7"/>
        <v>無等級材べいひばー</v>
      </c>
      <c r="B100" s="1" t="s">
        <v>228</v>
      </c>
      <c r="C100" s="26" t="s">
        <v>238</v>
      </c>
      <c r="D100" s="926"/>
      <c r="E100" s="26"/>
      <c r="F100" s="6">
        <v>20.7</v>
      </c>
      <c r="G100" s="7"/>
    </row>
    <row r="101" spans="1:7" ht="18" customHeight="1">
      <c r="A101" s="1" t="str">
        <f t="shared" si="7"/>
        <v>無等級材つがー</v>
      </c>
      <c r="B101" s="1" t="s">
        <v>228</v>
      </c>
      <c r="C101" s="26" t="s">
        <v>239</v>
      </c>
      <c r="D101" s="926"/>
      <c r="E101" s="27"/>
      <c r="F101" s="6">
        <v>19.2</v>
      </c>
      <c r="G101" s="7"/>
    </row>
    <row r="102" spans="1:7">
      <c r="A102" s="1" t="str">
        <f t="shared" si="7"/>
        <v>無等級材べいつがー</v>
      </c>
      <c r="B102" s="1" t="s">
        <v>228</v>
      </c>
      <c r="C102" s="26" t="s">
        <v>57</v>
      </c>
      <c r="D102" s="926"/>
      <c r="E102" s="26"/>
      <c r="F102" s="6">
        <v>19.2</v>
      </c>
      <c r="G102" s="7"/>
    </row>
    <row r="103" spans="1:7" ht="18.600000000000001" customHeight="1">
      <c r="A103" s="1" t="str">
        <f t="shared" si="7"/>
        <v>無等級材もみー</v>
      </c>
      <c r="B103" s="1" t="s">
        <v>228</v>
      </c>
      <c r="C103" s="26" t="s">
        <v>240</v>
      </c>
      <c r="D103" s="926"/>
      <c r="E103" s="27"/>
      <c r="F103" s="37">
        <v>17.7</v>
      </c>
      <c r="G103" s="7"/>
    </row>
    <row r="104" spans="1:7" ht="18.600000000000001" customHeight="1">
      <c r="A104" s="1" t="str">
        <f t="shared" si="7"/>
        <v>無等級材えぞまつー</v>
      </c>
      <c r="B104" s="1" t="s">
        <v>228</v>
      </c>
      <c r="C104" s="26" t="s">
        <v>261</v>
      </c>
      <c r="D104" s="926"/>
      <c r="E104" s="27"/>
      <c r="F104" s="37">
        <v>17.7</v>
      </c>
      <c r="G104" s="7"/>
    </row>
    <row r="105" spans="1:7" ht="18.600000000000001" customHeight="1">
      <c r="A105" s="1" t="str">
        <f t="shared" si="7"/>
        <v>無等級材とどまつー</v>
      </c>
      <c r="B105" s="1" t="s">
        <v>228</v>
      </c>
      <c r="C105" s="26" t="s">
        <v>262</v>
      </c>
      <c r="D105" s="926"/>
      <c r="E105" s="27"/>
      <c r="F105" s="37">
        <v>17.7</v>
      </c>
      <c r="G105" s="7"/>
    </row>
    <row r="106" spans="1:7" ht="18.600000000000001" customHeight="1">
      <c r="A106" s="1" t="str">
        <f t="shared" si="7"/>
        <v>無等級材べにまつー</v>
      </c>
      <c r="B106" s="1" t="s">
        <v>228</v>
      </c>
      <c r="C106" s="26" t="s">
        <v>263</v>
      </c>
      <c r="D106" s="926"/>
      <c r="E106" s="27"/>
      <c r="F106" s="37">
        <v>17.7</v>
      </c>
      <c r="G106" s="7"/>
    </row>
    <row r="107" spans="1:7" ht="18.600000000000001" customHeight="1">
      <c r="A107" s="1" t="str">
        <f t="shared" si="7"/>
        <v>無等級材すぎー</v>
      </c>
      <c r="B107" s="1" t="s">
        <v>228</v>
      </c>
      <c r="C107" s="26" t="s">
        <v>264</v>
      </c>
      <c r="D107" s="926"/>
      <c r="E107" s="27"/>
      <c r="F107" s="37">
        <v>17.7</v>
      </c>
      <c r="G107" s="7"/>
    </row>
    <row r="108" spans="1:7" ht="18.600000000000001" customHeight="1">
      <c r="A108" s="1" t="str">
        <f t="shared" si="7"/>
        <v>無等級材べいすぎー</v>
      </c>
      <c r="B108" s="1" t="s">
        <v>228</v>
      </c>
      <c r="C108" s="26" t="s">
        <v>265</v>
      </c>
      <c r="D108" s="926"/>
      <c r="E108" s="27"/>
      <c r="F108" s="37">
        <v>17.7</v>
      </c>
      <c r="G108" s="7"/>
    </row>
    <row r="109" spans="1:7" ht="18.600000000000001" customHeight="1">
      <c r="A109" s="1" t="str">
        <f t="shared" si="7"/>
        <v>無等級材スプルースー</v>
      </c>
      <c r="B109" s="1" t="s">
        <v>228</v>
      </c>
      <c r="C109" s="26" t="s">
        <v>266</v>
      </c>
      <c r="D109" s="926"/>
      <c r="E109" s="27"/>
      <c r="F109" s="37">
        <v>17.7</v>
      </c>
      <c r="G109" s="7"/>
    </row>
    <row r="110" spans="1:7">
      <c r="A110" s="1" t="str">
        <f t="shared" si="7"/>
        <v>無等級材かしー</v>
      </c>
      <c r="B110" s="1" t="s">
        <v>228</v>
      </c>
      <c r="C110" s="26" t="s">
        <v>70</v>
      </c>
      <c r="D110" s="926" t="s">
        <v>69</v>
      </c>
      <c r="E110" s="27"/>
      <c r="F110" s="6">
        <v>27</v>
      </c>
    </row>
    <row r="111" spans="1:7" ht="18.600000000000001" customHeight="1">
      <c r="A111" s="1" t="str">
        <f t="shared" si="7"/>
        <v>無等級材くりー</v>
      </c>
      <c r="B111" s="1" t="s">
        <v>228</v>
      </c>
      <c r="C111" s="26" t="s">
        <v>244</v>
      </c>
      <c r="D111" s="926"/>
      <c r="E111" s="27"/>
      <c r="F111" s="6">
        <v>21</v>
      </c>
    </row>
    <row r="112" spans="1:7">
      <c r="A112" s="1" t="str">
        <f t="shared" si="7"/>
        <v>無等級材ならー</v>
      </c>
      <c r="B112" s="1" t="s">
        <v>228</v>
      </c>
      <c r="C112" s="26" t="s">
        <v>245</v>
      </c>
      <c r="D112" s="926"/>
      <c r="E112" s="26"/>
      <c r="F112" s="6">
        <v>21</v>
      </c>
    </row>
    <row r="113" spans="1:6">
      <c r="A113" s="1" t="str">
        <f t="shared" si="7"/>
        <v>無等級材ぶなー</v>
      </c>
      <c r="B113" s="1" t="s">
        <v>228</v>
      </c>
      <c r="C113" s="26" t="s">
        <v>246</v>
      </c>
      <c r="D113" s="926"/>
      <c r="E113" s="26"/>
      <c r="F113" s="6">
        <v>21</v>
      </c>
    </row>
    <row r="114" spans="1:6">
      <c r="A114" s="1" t="str">
        <f t="shared" si="7"/>
        <v>無等級材けやきー</v>
      </c>
      <c r="B114" s="1" t="s">
        <v>228</v>
      </c>
      <c r="C114" s="26" t="s">
        <v>247</v>
      </c>
      <c r="D114" s="926"/>
      <c r="E114" s="26"/>
      <c r="F114" s="6">
        <v>21</v>
      </c>
    </row>
    <row r="116" spans="1:6" ht="22.5" customHeight="1">
      <c r="C116" s="925" t="s">
        <v>81</v>
      </c>
      <c r="D116" s="925"/>
      <c r="E116" s="925"/>
      <c r="F116" s="925"/>
    </row>
    <row r="117" spans="1:6" ht="20.25">
      <c r="A117" s="3" t="s">
        <v>284</v>
      </c>
      <c r="B117" s="3" t="s">
        <v>226</v>
      </c>
      <c r="C117" s="27" t="s">
        <v>82</v>
      </c>
      <c r="D117" s="27" t="s">
        <v>112</v>
      </c>
      <c r="E117" s="23" t="s">
        <v>47</v>
      </c>
      <c r="F117" s="32" t="s">
        <v>285</v>
      </c>
    </row>
    <row r="118" spans="1:6">
      <c r="A118" s="1" t="str">
        <f>B118&amp;"ー"&amp;E118&amp;C118</f>
        <v>JAS同一等級構成集成材ーE190-F615(4層以上)</v>
      </c>
      <c r="B118" s="1" t="s">
        <v>231</v>
      </c>
      <c r="C118" s="27" t="s">
        <v>255</v>
      </c>
      <c r="D118" s="18" t="s">
        <v>113</v>
      </c>
      <c r="E118" s="1" t="s">
        <v>83</v>
      </c>
      <c r="F118" s="6">
        <v>50.3</v>
      </c>
    </row>
    <row r="119" spans="1:6">
      <c r="A119" s="1" t="str">
        <f t="shared" ref="A119:A150" si="8">B119&amp;"ー"&amp;E119&amp;C119</f>
        <v>JAS同一等級構成集成材ーE170-F540(4層以上)</v>
      </c>
      <c r="B119" s="1" t="s">
        <v>231</v>
      </c>
      <c r="C119" s="27" t="s">
        <v>255</v>
      </c>
      <c r="D119" s="18" t="s">
        <v>114</v>
      </c>
      <c r="E119" s="1" t="s">
        <v>84</v>
      </c>
      <c r="F119" s="6">
        <v>44.6</v>
      </c>
    </row>
    <row r="120" spans="1:6">
      <c r="A120" s="1" t="str">
        <f t="shared" si="8"/>
        <v>JAS同一等級構成集成材ーE150-F465(4層以上)</v>
      </c>
      <c r="B120" s="1" t="s">
        <v>231</v>
      </c>
      <c r="C120" s="27" t="s">
        <v>255</v>
      </c>
      <c r="D120" s="18" t="s">
        <v>115</v>
      </c>
      <c r="E120" s="1" t="s">
        <v>85</v>
      </c>
      <c r="F120" s="6">
        <v>39.200000000000003</v>
      </c>
    </row>
    <row r="121" spans="1:6">
      <c r="A121" s="1" t="str">
        <f t="shared" si="8"/>
        <v>JAS同一等級構成集成材ーE135-F405(4層以上)</v>
      </c>
      <c r="B121" s="1" t="s">
        <v>231</v>
      </c>
      <c r="C121" s="27" t="s">
        <v>255</v>
      </c>
      <c r="D121" s="18" t="s">
        <v>116</v>
      </c>
      <c r="E121" s="1" t="s">
        <v>86</v>
      </c>
      <c r="F121" s="6">
        <v>33.4</v>
      </c>
    </row>
    <row r="122" spans="1:6">
      <c r="A122" s="1" t="str">
        <f t="shared" si="8"/>
        <v>JAS同一等級構成集成材ーE120-F375(4層以上)</v>
      </c>
      <c r="B122" s="1" t="s">
        <v>231</v>
      </c>
      <c r="C122" s="27" t="s">
        <v>255</v>
      </c>
      <c r="D122" s="18" t="s">
        <v>117</v>
      </c>
      <c r="E122" s="1" t="s">
        <v>87</v>
      </c>
      <c r="F122" s="6">
        <v>30.1</v>
      </c>
    </row>
    <row r="123" spans="1:6">
      <c r="A123" s="1" t="str">
        <f t="shared" si="8"/>
        <v>JAS同一等級構成集成材ーE105-F345(4層以上)</v>
      </c>
      <c r="B123" s="1" t="s">
        <v>231</v>
      </c>
      <c r="C123" s="27" t="s">
        <v>255</v>
      </c>
      <c r="D123" s="18" t="s">
        <v>118</v>
      </c>
      <c r="E123" s="1" t="s">
        <v>88</v>
      </c>
      <c r="F123" s="6">
        <v>28.1</v>
      </c>
    </row>
    <row r="124" spans="1:6">
      <c r="A124" s="1" t="str">
        <f t="shared" si="8"/>
        <v>JAS同一等級構成集成材ーE95-F315(4層以上)</v>
      </c>
      <c r="B124" s="1" t="s">
        <v>231</v>
      </c>
      <c r="C124" s="27" t="s">
        <v>255</v>
      </c>
      <c r="D124" s="18" t="s">
        <v>119</v>
      </c>
      <c r="E124" s="1" t="s">
        <v>89</v>
      </c>
      <c r="F124" s="6">
        <v>26</v>
      </c>
    </row>
    <row r="125" spans="1:6">
      <c r="A125" s="1" t="str">
        <f t="shared" si="8"/>
        <v>JAS同一等級構成集成材ーE85-F300(4層以上)</v>
      </c>
      <c r="B125" s="1" t="s">
        <v>231</v>
      </c>
      <c r="C125" s="27" t="s">
        <v>255</v>
      </c>
      <c r="D125" s="18" t="s">
        <v>597</v>
      </c>
      <c r="E125" s="1" t="s">
        <v>598</v>
      </c>
      <c r="F125" s="6">
        <v>24.3</v>
      </c>
    </row>
    <row r="126" spans="1:6">
      <c r="A126" s="1" t="str">
        <f t="shared" si="8"/>
        <v>JAS同一等級構成集成材ーE75-F270(4層以上)</v>
      </c>
      <c r="B126" s="1" t="s">
        <v>231</v>
      </c>
      <c r="C126" s="27" t="s">
        <v>255</v>
      </c>
      <c r="D126" s="18" t="s">
        <v>120</v>
      </c>
      <c r="E126" s="1" t="s">
        <v>90</v>
      </c>
      <c r="F126" s="6">
        <v>22.3</v>
      </c>
    </row>
    <row r="127" spans="1:6">
      <c r="A127" s="1" t="str">
        <f t="shared" si="8"/>
        <v>JAS同一等級構成集成材ーE65-F255(4層以上)</v>
      </c>
      <c r="B127" s="1" t="s">
        <v>231</v>
      </c>
      <c r="C127" s="27" t="s">
        <v>255</v>
      </c>
      <c r="D127" s="18" t="s">
        <v>121</v>
      </c>
      <c r="E127" s="1" t="s">
        <v>91</v>
      </c>
      <c r="F127" s="6">
        <v>20.6</v>
      </c>
    </row>
    <row r="128" spans="1:6">
      <c r="A128" s="1" t="str">
        <f t="shared" si="8"/>
        <v>JAS同一等級構成集成材ーE55-F225(4層以上)</v>
      </c>
      <c r="B128" s="1" t="s">
        <v>231</v>
      </c>
      <c r="C128" s="27" t="s">
        <v>255</v>
      </c>
      <c r="D128" s="18" t="s">
        <v>122</v>
      </c>
      <c r="E128" s="1" t="s">
        <v>92</v>
      </c>
      <c r="F128" s="6">
        <v>18.600000000000001</v>
      </c>
    </row>
    <row r="129" spans="1:7">
      <c r="A129" s="1" t="str">
        <f t="shared" si="8"/>
        <v>JAS同一等級構成集成材ーE190-F555(3層)</v>
      </c>
      <c r="B129" s="1" t="s">
        <v>231</v>
      </c>
      <c r="C129" s="27" t="s">
        <v>256</v>
      </c>
      <c r="D129" s="18" t="s">
        <v>113</v>
      </c>
      <c r="E129" s="1" t="s">
        <v>93</v>
      </c>
      <c r="F129" s="6">
        <v>45.8</v>
      </c>
    </row>
    <row r="130" spans="1:7">
      <c r="A130" s="1" t="str">
        <f t="shared" si="8"/>
        <v>JAS同一等級構成集成材ーE170-F495(3層)</v>
      </c>
      <c r="B130" s="1" t="s">
        <v>231</v>
      </c>
      <c r="C130" s="27" t="s">
        <v>256</v>
      </c>
      <c r="D130" s="18" t="s">
        <v>114</v>
      </c>
      <c r="E130" s="1" t="s">
        <v>94</v>
      </c>
      <c r="F130" s="6">
        <v>40.5</v>
      </c>
    </row>
    <row r="131" spans="1:7">
      <c r="A131" s="1" t="str">
        <f t="shared" si="8"/>
        <v>JAS同一等級構成集成材ーE150-F435(3層)</v>
      </c>
      <c r="B131" s="1" t="s">
        <v>231</v>
      </c>
      <c r="C131" s="27" t="s">
        <v>256</v>
      </c>
      <c r="D131" s="18" t="s">
        <v>115</v>
      </c>
      <c r="E131" s="1" t="s">
        <v>95</v>
      </c>
      <c r="F131" s="6">
        <v>35.6</v>
      </c>
    </row>
    <row r="132" spans="1:7">
      <c r="A132" s="1" t="str">
        <f t="shared" si="8"/>
        <v>JAS同一等級構成集成材ーE135-F375(3層)</v>
      </c>
      <c r="B132" s="1" t="s">
        <v>231</v>
      </c>
      <c r="C132" s="27" t="s">
        <v>256</v>
      </c>
      <c r="D132" s="18" t="s">
        <v>116</v>
      </c>
      <c r="E132" s="1" t="s">
        <v>96</v>
      </c>
      <c r="F132" s="6">
        <v>30.4</v>
      </c>
    </row>
    <row r="133" spans="1:7">
      <c r="A133" s="1" t="str">
        <f t="shared" si="8"/>
        <v>JAS同一等級構成集成材ーE120-F330(3層)</v>
      </c>
      <c r="B133" s="1" t="s">
        <v>231</v>
      </c>
      <c r="C133" s="27" t="s">
        <v>256</v>
      </c>
      <c r="D133" s="18" t="s">
        <v>117</v>
      </c>
      <c r="E133" s="1" t="s">
        <v>97</v>
      </c>
      <c r="F133" s="6">
        <v>27.4</v>
      </c>
    </row>
    <row r="134" spans="1:7">
      <c r="A134" s="1" t="str">
        <f t="shared" si="8"/>
        <v>JAS同一等級構成集成材ーE105-F300(3層)</v>
      </c>
      <c r="B134" s="1" t="s">
        <v>231</v>
      </c>
      <c r="C134" s="27" t="s">
        <v>256</v>
      </c>
      <c r="D134" s="18" t="s">
        <v>118</v>
      </c>
      <c r="E134" s="1" t="s">
        <v>98</v>
      </c>
      <c r="F134" s="6">
        <v>25.5</v>
      </c>
    </row>
    <row r="135" spans="1:7">
      <c r="A135" s="1" t="str">
        <f t="shared" si="8"/>
        <v>JAS同一等級構成集成材ーE95-F285(3層)</v>
      </c>
      <c r="B135" s="1" t="s">
        <v>231</v>
      </c>
      <c r="C135" s="27" t="s">
        <v>256</v>
      </c>
      <c r="D135" s="18" t="s">
        <v>119</v>
      </c>
      <c r="E135" s="1" t="s">
        <v>99</v>
      </c>
      <c r="F135" s="6">
        <v>23.6</v>
      </c>
    </row>
    <row r="136" spans="1:7">
      <c r="A136" s="1" t="str">
        <f t="shared" si="8"/>
        <v>JAS同一等級構成集成材ーE85-F270(3層)</v>
      </c>
      <c r="B136" s="1" t="s">
        <v>231</v>
      </c>
      <c r="C136" s="27" t="s">
        <v>256</v>
      </c>
      <c r="D136" s="18" t="s">
        <v>597</v>
      </c>
      <c r="E136" s="1" t="s">
        <v>599</v>
      </c>
      <c r="F136" s="6">
        <v>22.1</v>
      </c>
    </row>
    <row r="137" spans="1:7">
      <c r="A137" s="1" t="str">
        <f t="shared" si="8"/>
        <v>JAS同一等級構成集成材ーE75-F255(3層)</v>
      </c>
      <c r="B137" s="1" t="s">
        <v>231</v>
      </c>
      <c r="C137" s="27" t="s">
        <v>256</v>
      </c>
      <c r="D137" s="18" t="s">
        <v>120</v>
      </c>
      <c r="E137" s="1" t="s">
        <v>100</v>
      </c>
      <c r="F137" s="6">
        <v>20.3</v>
      </c>
    </row>
    <row r="138" spans="1:7">
      <c r="A138" s="1" t="str">
        <f t="shared" si="8"/>
        <v>JAS同一等級構成集成材ーE65-F240(3層)</v>
      </c>
      <c r="B138" s="1" t="s">
        <v>231</v>
      </c>
      <c r="C138" s="27" t="s">
        <v>256</v>
      </c>
      <c r="D138" s="18" t="s">
        <v>121</v>
      </c>
      <c r="E138" s="1" t="s">
        <v>101</v>
      </c>
      <c r="F138" s="6">
        <v>18.8</v>
      </c>
    </row>
    <row r="139" spans="1:7">
      <c r="A139" s="1" t="str">
        <f t="shared" si="8"/>
        <v>JAS同一等級構成集成材ーE55-F225(3層)</v>
      </c>
      <c r="B139" s="1" t="s">
        <v>231</v>
      </c>
      <c r="C139" s="27" t="s">
        <v>256</v>
      </c>
      <c r="D139" s="18" t="s">
        <v>122</v>
      </c>
      <c r="E139" s="1" t="s">
        <v>92</v>
      </c>
      <c r="F139" s="6">
        <v>16.899999999999999</v>
      </c>
    </row>
    <row r="140" spans="1:7">
      <c r="A140" s="1" t="str">
        <f t="shared" si="8"/>
        <v>JAS同一等級構成集成材ーE190-F510(2層)</v>
      </c>
      <c r="B140" s="1" t="s">
        <v>231</v>
      </c>
      <c r="C140" s="27" t="s">
        <v>257</v>
      </c>
      <c r="D140" s="18" t="s">
        <v>113</v>
      </c>
      <c r="E140" s="1" t="s">
        <v>102</v>
      </c>
      <c r="F140" s="6">
        <v>45.8</v>
      </c>
    </row>
    <row r="141" spans="1:7">
      <c r="A141" s="1" t="str">
        <f t="shared" si="8"/>
        <v>JAS同一等級構成集成材ーE170-F450(2層)</v>
      </c>
      <c r="B141" s="1" t="s">
        <v>231</v>
      </c>
      <c r="C141" s="27" t="s">
        <v>257</v>
      </c>
      <c r="D141" s="18" t="s">
        <v>114</v>
      </c>
      <c r="E141" s="1" t="s">
        <v>103</v>
      </c>
      <c r="F141" s="6">
        <v>40.5</v>
      </c>
    </row>
    <row r="142" spans="1:7">
      <c r="A142" s="1" t="str">
        <f t="shared" si="8"/>
        <v>JAS同一等級構成集成材ーE150-F390(2層)</v>
      </c>
      <c r="B142" s="1" t="s">
        <v>231</v>
      </c>
      <c r="C142" s="27" t="s">
        <v>257</v>
      </c>
      <c r="D142" s="18" t="s">
        <v>115</v>
      </c>
      <c r="E142" s="1" t="s">
        <v>104</v>
      </c>
      <c r="F142" s="6">
        <v>35.6</v>
      </c>
      <c r="G142" s="12"/>
    </row>
    <row r="143" spans="1:7">
      <c r="A143" s="1" t="str">
        <f t="shared" si="8"/>
        <v>JAS同一等級構成集成材ーE135-F345(2層)</v>
      </c>
      <c r="B143" s="1" t="s">
        <v>231</v>
      </c>
      <c r="C143" s="27" t="s">
        <v>257</v>
      </c>
      <c r="D143" s="18" t="s">
        <v>116</v>
      </c>
      <c r="E143" s="1" t="s">
        <v>105</v>
      </c>
      <c r="F143" s="6">
        <v>30.4</v>
      </c>
      <c r="G143" s="7"/>
    </row>
    <row r="144" spans="1:7">
      <c r="A144" s="1" t="str">
        <f t="shared" si="8"/>
        <v>JAS同一等級構成集成材ーE120-F300(2層)</v>
      </c>
      <c r="B144" s="1" t="s">
        <v>231</v>
      </c>
      <c r="C144" s="27" t="s">
        <v>257</v>
      </c>
      <c r="D144" s="18" t="s">
        <v>117</v>
      </c>
      <c r="E144" s="1" t="s">
        <v>106</v>
      </c>
      <c r="F144" s="6">
        <v>27.4</v>
      </c>
      <c r="G144" s="7"/>
    </row>
    <row r="145" spans="1:6">
      <c r="A145" s="1" t="str">
        <f t="shared" si="8"/>
        <v>JAS同一等級構成集成材ーE105-F285(2層)</v>
      </c>
      <c r="B145" s="1" t="s">
        <v>231</v>
      </c>
      <c r="C145" s="27" t="s">
        <v>257</v>
      </c>
      <c r="D145" s="18" t="s">
        <v>118</v>
      </c>
      <c r="E145" s="1" t="s">
        <v>107</v>
      </c>
      <c r="F145" s="6">
        <v>25.5</v>
      </c>
    </row>
    <row r="146" spans="1:6">
      <c r="A146" s="1" t="str">
        <f t="shared" si="8"/>
        <v>JAS同一等級構成集成材ーE95-F270(2層)</v>
      </c>
      <c r="B146" s="1" t="s">
        <v>231</v>
      </c>
      <c r="C146" s="27" t="s">
        <v>257</v>
      </c>
      <c r="D146" s="18" t="s">
        <v>119</v>
      </c>
      <c r="E146" s="1" t="s">
        <v>108</v>
      </c>
      <c r="F146" s="6">
        <v>23.6</v>
      </c>
    </row>
    <row r="147" spans="1:6">
      <c r="A147" s="1" t="str">
        <f t="shared" si="8"/>
        <v>JAS同一等級構成集成材ーE85-F255(2層)</v>
      </c>
      <c r="B147" s="1" t="s">
        <v>231</v>
      </c>
      <c r="C147" s="27" t="s">
        <v>257</v>
      </c>
      <c r="D147" s="18" t="s">
        <v>597</v>
      </c>
      <c r="E147" s="1" t="s">
        <v>600</v>
      </c>
      <c r="F147" s="6">
        <v>22.1</v>
      </c>
    </row>
    <row r="148" spans="1:6">
      <c r="A148" s="1" t="str">
        <f t="shared" si="8"/>
        <v>JAS同一等級構成集成材ーE75-F240(2層)</v>
      </c>
      <c r="B148" s="1" t="s">
        <v>231</v>
      </c>
      <c r="C148" s="27" t="s">
        <v>257</v>
      </c>
      <c r="D148" s="18" t="s">
        <v>120</v>
      </c>
      <c r="E148" s="1" t="s">
        <v>109</v>
      </c>
      <c r="F148" s="6">
        <v>20.3</v>
      </c>
    </row>
    <row r="149" spans="1:6">
      <c r="A149" s="1" t="str">
        <f t="shared" si="8"/>
        <v>JAS同一等級構成集成材ーE65-F225(2層)</v>
      </c>
      <c r="B149" s="1" t="s">
        <v>231</v>
      </c>
      <c r="C149" s="27" t="s">
        <v>257</v>
      </c>
      <c r="D149" s="18" t="s">
        <v>121</v>
      </c>
      <c r="E149" s="1" t="s">
        <v>110</v>
      </c>
      <c r="F149" s="6">
        <v>18.8</v>
      </c>
    </row>
    <row r="150" spans="1:6">
      <c r="A150" s="1" t="str">
        <f t="shared" si="8"/>
        <v>JAS同一等級構成集成材ーE55-F200(2層)</v>
      </c>
      <c r="B150" s="1" t="s">
        <v>231</v>
      </c>
      <c r="C150" s="27" t="s">
        <v>257</v>
      </c>
      <c r="D150" s="18" t="s">
        <v>122</v>
      </c>
      <c r="E150" s="1" t="s">
        <v>111</v>
      </c>
      <c r="F150" s="6">
        <v>16.899999999999999</v>
      </c>
    </row>
    <row r="153" spans="1:6">
      <c r="C153" s="2" t="s">
        <v>123</v>
      </c>
      <c r="D153" s="925" t="s">
        <v>123</v>
      </c>
      <c r="E153" s="925"/>
      <c r="F153" s="925"/>
    </row>
    <row r="154" spans="1:6" ht="20.25">
      <c r="A154" s="3" t="s">
        <v>284</v>
      </c>
      <c r="B154" s="3" t="s">
        <v>226</v>
      </c>
      <c r="C154" s="27"/>
      <c r="D154" s="27" t="s">
        <v>124</v>
      </c>
      <c r="E154" s="23" t="s">
        <v>47</v>
      </c>
      <c r="F154" s="32" t="s">
        <v>285</v>
      </c>
    </row>
    <row r="155" spans="1:6">
      <c r="A155" t="str">
        <f>B155&amp;"ー"&amp;D155&amp;"　"&amp;E155</f>
        <v>JASA種構造用単板積層材ー180E　特級</v>
      </c>
      <c r="B155" s="1" t="s">
        <v>248</v>
      </c>
      <c r="C155" s="27"/>
      <c r="D155" s="18" t="s">
        <v>74</v>
      </c>
      <c r="E155" s="1" t="s">
        <v>134</v>
      </c>
      <c r="F155" s="6">
        <v>46.8</v>
      </c>
    </row>
    <row r="156" spans="1:6">
      <c r="A156" t="str">
        <f t="shared" ref="A156:A187" si="9">B156&amp;"ー"&amp;D156&amp;"　"&amp;E156</f>
        <v>JASA種構造用単板積層材ー180E　一級</v>
      </c>
      <c r="B156" s="1" t="s">
        <v>248</v>
      </c>
      <c r="C156" s="27"/>
      <c r="D156" s="18" t="s">
        <v>73</v>
      </c>
      <c r="E156" s="1" t="s">
        <v>48</v>
      </c>
      <c r="F156" s="6">
        <v>45</v>
      </c>
    </row>
    <row r="157" spans="1:6">
      <c r="A157" t="str">
        <f t="shared" si="9"/>
        <v>JASA種構造用単板積層材ー180E　二級</v>
      </c>
      <c r="B157" s="1" t="s">
        <v>248</v>
      </c>
      <c r="C157" s="27"/>
      <c r="D157" s="18" t="s">
        <v>73</v>
      </c>
      <c r="E157" s="1" t="s">
        <v>49</v>
      </c>
      <c r="F157" s="6">
        <v>42</v>
      </c>
    </row>
    <row r="158" spans="1:6">
      <c r="A158" t="str">
        <f t="shared" si="9"/>
        <v>JASA種構造用単板積層材ー160E　特級</v>
      </c>
      <c r="B158" s="1" t="s">
        <v>248</v>
      </c>
      <c r="C158" s="27"/>
      <c r="D158" s="18" t="s">
        <v>125</v>
      </c>
      <c r="E158" s="1" t="s">
        <v>134</v>
      </c>
      <c r="F158" s="6">
        <v>41.4</v>
      </c>
    </row>
    <row r="159" spans="1:6">
      <c r="A159" t="str">
        <f t="shared" si="9"/>
        <v>JASA種構造用単板積層材ー160E　一級</v>
      </c>
      <c r="B159" s="1" t="s">
        <v>248</v>
      </c>
      <c r="C159" s="27"/>
      <c r="D159" s="18" t="s">
        <v>125</v>
      </c>
      <c r="E159" s="1" t="s">
        <v>48</v>
      </c>
      <c r="F159" s="6">
        <v>40.200000000000003</v>
      </c>
    </row>
    <row r="160" spans="1:6">
      <c r="A160" t="str">
        <f t="shared" si="9"/>
        <v>JASA種構造用単板積層材ー160E　二級</v>
      </c>
      <c r="B160" s="1" t="s">
        <v>248</v>
      </c>
      <c r="C160" s="27"/>
      <c r="D160" s="18" t="s">
        <v>125</v>
      </c>
      <c r="E160" s="1" t="s">
        <v>49</v>
      </c>
      <c r="F160" s="6">
        <v>37.200000000000003</v>
      </c>
    </row>
    <row r="161" spans="1:6">
      <c r="A161" t="str">
        <f t="shared" si="9"/>
        <v>JASA種構造用単板積層材ー140E　特級</v>
      </c>
      <c r="B161" s="1" t="s">
        <v>248</v>
      </c>
      <c r="C161" s="27"/>
      <c r="D161" s="18" t="s">
        <v>126</v>
      </c>
      <c r="E161" s="1" t="s">
        <v>134</v>
      </c>
      <c r="F161" s="6">
        <v>36</v>
      </c>
    </row>
    <row r="162" spans="1:6">
      <c r="A162" t="str">
        <f t="shared" si="9"/>
        <v>JASA種構造用単板積層材ー140E　一級</v>
      </c>
      <c r="B162" s="1" t="s">
        <v>248</v>
      </c>
      <c r="C162" s="27"/>
      <c r="D162" s="18" t="s">
        <v>126</v>
      </c>
      <c r="E162" s="1" t="s">
        <v>48</v>
      </c>
      <c r="F162" s="6">
        <v>34.799999999999997</v>
      </c>
    </row>
    <row r="163" spans="1:6">
      <c r="A163" t="str">
        <f t="shared" si="9"/>
        <v>JASA種構造用単板積層材ー140E　二級</v>
      </c>
      <c r="B163" s="1" t="s">
        <v>248</v>
      </c>
      <c r="C163" s="27"/>
      <c r="D163" s="18" t="s">
        <v>126</v>
      </c>
      <c r="E163" s="1" t="s">
        <v>49</v>
      </c>
      <c r="F163" s="6">
        <v>32.4</v>
      </c>
    </row>
    <row r="164" spans="1:6">
      <c r="A164" t="str">
        <f t="shared" si="9"/>
        <v>JASA種構造用単板積層材ー120E　特級</v>
      </c>
      <c r="B164" s="1" t="s">
        <v>248</v>
      </c>
      <c r="C164" s="27"/>
      <c r="D164" s="18" t="s">
        <v>127</v>
      </c>
      <c r="E164" s="1" t="s">
        <v>134</v>
      </c>
      <c r="F164" s="6">
        <v>31.2</v>
      </c>
    </row>
    <row r="165" spans="1:6">
      <c r="A165" t="str">
        <f t="shared" si="9"/>
        <v>JASA種構造用単板積層材ー120E　一級</v>
      </c>
      <c r="B165" s="1" t="s">
        <v>248</v>
      </c>
      <c r="C165" s="27"/>
      <c r="D165" s="18" t="s">
        <v>127</v>
      </c>
      <c r="E165" s="1" t="s">
        <v>48</v>
      </c>
      <c r="F165" s="6">
        <v>30</v>
      </c>
    </row>
    <row r="166" spans="1:6">
      <c r="A166" t="str">
        <f t="shared" si="9"/>
        <v>JASA種構造用単板積層材ー120E　二級</v>
      </c>
      <c r="B166" s="1" t="s">
        <v>248</v>
      </c>
      <c r="C166" s="27"/>
      <c r="D166" s="18" t="s">
        <v>127</v>
      </c>
      <c r="E166" s="1" t="s">
        <v>49</v>
      </c>
      <c r="F166" s="6">
        <v>27.6</v>
      </c>
    </row>
    <row r="167" spans="1:6">
      <c r="A167" t="str">
        <f t="shared" si="9"/>
        <v>JASA種構造用単板積層材ー110E　特級</v>
      </c>
      <c r="B167" s="1" t="s">
        <v>248</v>
      </c>
      <c r="C167" s="27"/>
      <c r="D167" s="18" t="s">
        <v>128</v>
      </c>
      <c r="E167" s="1" t="s">
        <v>134</v>
      </c>
      <c r="F167" s="6">
        <v>28.2</v>
      </c>
    </row>
    <row r="168" spans="1:6">
      <c r="A168" t="str">
        <f t="shared" si="9"/>
        <v>JASA種構造用単板積層材ー110E　一級</v>
      </c>
      <c r="B168" s="1" t="s">
        <v>248</v>
      </c>
      <c r="C168" s="27"/>
      <c r="D168" s="18" t="s">
        <v>128</v>
      </c>
      <c r="E168" s="1" t="s">
        <v>48</v>
      </c>
      <c r="F168" s="6">
        <v>27</v>
      </c>
    </row>
    <row r="169" spans="1:6">
      <c r="A169" t="str">
        <f t="shared" si="9"/>
        <v>JASA種構造用単板積層材ー110E　二級</v>
      </c>
      <c r="B169" s="1" t="s">
        <v>248</v>
      </c>
      <c r="C169" s="27"/>
      <c r="D169" s="18" t="s">
        <v>128</v>
      </c>
      <c r="E169" s="1" t="s">
        <v>49</v>
      </c>
      <c r="F169" s="6">
        <v>25.8</v>
      </c>
    </row>
    <row r="170" spans="1:6">
      <c r="A170" t="str">
        <f t="shared" si="9"/>
        <v>JASA種構造用単板積層材ー100E　特級</v>
      </c>
      <c r="B170" s="1" t="s">
        <v>248</v>
      </c>
      <c r="C170" s="27"/>
      <c r="D170" s="18" t="s">
        <v>129</v>
      </c>
      <c r="E170" s="1" t="s">
        <v>134</v>
      </c>
      <c r="F170" s="6">
        <v>25.8</v>
      </c>
    </row>
    <row r="171" spans="1:6">
      <c r="A171" t="str">
        <f t="shared" si="9"/>
        <v>JASA種構造用単板積層材ー100E　一級</v>
      </c>
      <c r="B171" s="1" t="s">
        <v>248</v>
      </c>
      <c r="C171" s="27"/>
      <c r="D171" s="18" t="s">
        <v>129</v>
      </c>
      <c r="E171" s="1" t="s">
        <v>48</v>
      </c>
      <c r="F171" s="6">
        <v>25.2</v>
      </c>
    </row>
    <row r="172" spans="1:6">
      <c r="A172" t="str">
        <f t="shared" si="9"/>
        <v>JASA種構造用単板積層材ー100E　二級</v>
      </c>
      <c r="B172" s="1" t="s">
        <v>248</v>
      </c>
      <c r="C172" s="27"/>
      <c r="D172" s="18" t="s">
        <v>129</v>
      </c>
      <c r="E172" s="1" t="s">
        <v>49</v>
      </c>
      <c r="F172" s="6">
        <v>23.4</v>
      </c>
    </row>
    <row r="173" spans="1:6">
      <c r="A173" t="str">
        <f t="shared" si="9"/>
        <v>JASA種構造用単板積層材ー90E　特級</v>
      </c>
      <c r="B173" s="1" t="s">
        <v>248</v>
      </c>
      <c r="C173" s="27"/>
      <c r="D173" s="18" t="s">
        <v>75</v>
      </c>
      <c r="E173" s="1" t="s">
        <v>134</v>
      </c>
      <c r="F173" s="6">
        <v>23.4</v>
      </c>
    </row>
    <row r="174" spans="1:6">
      <c r="A174" t="str">
        <f t="shared" si="9"/>
        <v>JASA種構造用単板積層材ー90E　一級</v>
      </c>
      <c r="B174" s="1" t="s">
        <v>248</v>
      </c>
      <c r="C174" s="27"/>
      <c r="D174" s="18" t="s">
        <v>75</v>
      </c>
      <c r="E174" s="1" t="s">
        <v>48</v>
      </c>
      <c r="F174" s="6">
        <v>22.8</v>
      </c>
    </row>
    <row r="175" spans="1:6">
      <c r="A175" t="str">
        <f t="shared" si="9"/>
        <v>JASA種構造用単板積層材ー90E　二級</v>
      </c>
      <c r="B175" s="1" t="s">
        <v>248</v>
      </c>
      <c r="C175" s="27"/>
      <c r="D175" s="18" t="s">
        <v>75</v>
      </c>
      <c r="E175" s="1" t="s">
        <v>49</v>
      </c>
      <c r="F175" s="6">
        <v>21</v>
      </c>
    </row>
    <row r="176" spans="1:6">
      <c r="A176" t="str">
        <f t="shared" si="9"/>
        <v>JASA種構造用単板積層材ー80E　特級</v>
      </c>
      <c r="B176" s="1" t="s">
        <v>248</v>
      </c>
      <c r="C176" s="27"/>
      <c r="D176" s="18" t="s">
        <v>130</v>
      </c>
      <c r="E176" s="1" t="s">
        <v>134</v>
      </c>
      <c r="F176" s="6">
        <v>21</v>
      </c>
    </row>
    <row r="177" spans="1:6">
      <c r="A177" t="str">
        <f t="shared" si="9"/>
        <v>JASA種構造用単板積層材ー80E　一級</v>
      </c>
      <c r="B177" s="1" t="s">
        <v>248</v>
      </c>
      <c r="C177" s="27"/>
      <c r="D177" s="18" t="s">
        <v>130</v>
      </c>
      <c r="E177" s="1" t="s">
        <v>48</v>
      </c>
      <c r="F177" s="6">
        <v>19.8</v>
      </c>
    </row>
    <row r="178" spans="1:6">
      <c r="A178" t="str">
        <f t="shared" si="9"/>
        <v>JASA種構造用単板積層材ー80E　二級</v>
      </c>
      <c r="B178" s="1" t="s">
        <v>248</v>
      </c>
      <c r="C178" s="27"/>
      <c r="D178" s="18" t="s">
        <v>130</v>
      </c>
      <c r="E178" s="1" t="s">
        <v>49</v>
      </c>
      <c r="F178" s="6">
        <v>18.600000000000001</v>
      </c>
    </row>
    <row r="179" spans="1:6">
      <c r="A179" t="str">
        <f t="shared" si="9"/>
        <v>JASA種構造用単板積層材ー70E　特級</v>
      </c>
      <c r="B179" s="1" t="s">
        <v>248</v>
      </c>
      <c r="C179" s="27"/>
      <c r="D179" s="18" t="s">
        <v>131</v>
      </c>
      <c r="E179" s="1" t="s">
        <v>134</v>
      </c>
      <c r="F179" s="6">
        <v>18</v>
      </c>
    </row>
    <row r="180" spans="1:6">
      <c r="A180" t="str">
        <f t="shared" si="9"/>
        <v>JASA種構造用単板積層材ー70E　一級</v>
      </c>
      <c r="B180" s="1" t="s">
        <v>248</v>
      </c>
      <c r="C180" s="27"/>
      <c r="D180" s="18" t="s">
        <v>131</v>
      </c>
      <c r="E180" s="1" t="s">
        <v>48</v>
      </c>
      <c r="F180" s="6">
        <v>17.399999999999999</v>
      </c>
    </row>
    <row r="181" spans="1:6">
      <c r="A181" t="str">
        <f t="shared" si="9"/>
        <v>JASA種構造用単板積層材ー70E　二級</v>
      </c>
      <c r="B181" s="1" t="s">
        <v>248</v>
      </c>
      <c r="C181" s="27"/>
      <c r="D181" s="18" t="s">
        <v>131</v>
      </c>
      <c r="E181" s="1" t="s">
        <v>49</v>
      </c>
      <c r="F181" s="6">
        <v>16.2</v>
      </c>
    </row>
    <row r="182" spans="1:6">
      <c r="A182" t="str">
        <f t="shared" si="9"/>
        <v>JASA種構造用単板積層材ー60E　特級</v>
      </c>
      <c r="B182" s="1" t="s">
        <v>248</v>
      </c>
      <c r="C182" s="27"/>
      <c r="D182" s="18" t="s">
        <v>132</v>
      </c>
      <c r="E182" s="1" t="s">
        <v>134</v>
      </c>
      <c r="F182" s="6">
        <v>15.6</v>
      </c>
    </row>
    <row r="183" spans="1:6">
      <c r="A183" t="str">
        <f t="shared" si="9"/>
        <v>JASA種構造用単板積層材ー60E　一級</v>
      </c>
      <c r="B183" s="1" t="s">
        <v>248</v>
      </c>
      <c r="C183" s="27"/>
      <c r="D183" s="18" t="s">
        <v>132</v>
      </c>
      <c r="E183" s="1" t="s">
        <v>48</v>
      </c>
      <c r="F183" s="6">
        <v>15</v>
      </c>
    </row>
    <row r="184" spans="1:6">
      <c r="A184" t="str">
        <f t="shared" si="9"/>
        <v>JASA種構造用単板積層材ー60E　二級</v>
      </c>
      <c r="B184" s="1" t="s">
        <v>248</v>
      </c>
      <c r="C184" s="27"/>
      <c r="D184" s="18" t="s">
        <v>132</v>
      </c>
      <c r="E184" s="1" t="s">
        <v>49</v>
      </c>
      <c r="F184" s="6">
        <v>13.8</v>
      </c>
    </row>
    <row r="185" spans="1:6">
      <c r="A185" t="str">
        <f t="shared" si="9"/>
        <v>JASA種構造用単板積層材ー50E　特級</v>
      </c>
      <c r="B185" s="1" t="s">
        <v>248</v>
      </c>
      <c r="C185" s="27"/>
      <c r="D185" s="18" t="s">
        <v>133</v>
      </c>
      <c r="E185" s="1" t="s">
        <v>134</v>
      </c>
      <c r="F185" s="6">
        <v>12.7</v>
      </c>
    </row>
    <row r="186" spans="1:6">
      <c r="A186" t="str">
        <f t="shared" si="9"/>
        <v>JASA種構造用単板積層材ー50E　一級</v>
      </c>
      <c r="B186" s="1" t="s">
        <v>248</v>
      </c>
      <c r="C186" s="27"/>
      <c r="D186" s="18" t="s">
        <v>133</v>
      </c>
      <c r="E186" s="1" t="s">
        <v>48</v>
      </c>
      <c r="F186" s="6">
        <v>12.3</v>
      </c>
    </row>
    <row r="187" spans="1:6">
      <c r="A187" t="str">
        <f t="shared" si="9"/>
        <v>JASA種構造用単板積層材ー50E　二級</v>
      </c>
      <c r="B187" s="1" t="s">
        <v>248</v>
      </c>
      <c r="C187" s="27"/>
      <c r="D187" s="18" t="s">
        <v>133</v>
      </c>
      <c r="E187" s="1" t="s">
        <v>49</v>
      </c>
      <c r="F187" s="6">
        <v>11.1</v>
      </c>
    </row>
  </sheetData>
  <sheetProtection algorithmName="SHA-512" hashValue="5v4DiOlG2CcZaWTd9aBCuq+EYf2Ij1/BkCQQQnNP52EqJUx9AgTM+b3JRBC7QyZ/Y9CNJIb5qaig1bBDQWNnBw==" saltValue="AJRcalZW5118IAsK+P3qgg==" spinCount="100000" sheet="1" objects="1" scenarios="1"/>
  <mergeCells count="15">
    <mergeCell ref="D62:D64"/>
    <mergeCell ref="D68:D70"/>
    <mergeCell ref="D71:D73"/>
    <mergeCell ref="D65:D67"/>
    <mergeCell ref="D74:D76"/>
    <mergeCell ref="D153:F153"/>
    <mergeCell ref="D80:D82"/>
    <mergeCell ref="D83:D85"/>
    <mergeCell ref="C116:F116"/>
    <mergeCell ref="D77:D79"/>
    <mergeCell ref="D86:D88"/>
    <mergeCell ref="C91:F91"/>
    <mergeCell ref="D110:D114"/>
    <mergeCell ref="C92:D92"/>
    <mergeCell ref="D93:D10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291"/>
  <sheetViews>
    <sheetView view="pageBreakPreview" topLeftCell="A142" zoomScaleNormal="100" zoomScaleSheetLayoutView="100" workbookViewId="0">
      <selection activeCell="D173" sqref="D173:I173"/>
    </sheetView>
  </sheetViews>
  <sheetFormatPr defaultRowHeight="18.75"/>
  <cols>
    <col min="1" max="1" width="3.25" customWidth="1"/>
    <col min="2" max="2" width="4.125" customWidth="1"/>
    <col min="3" max="3" width="5.75" customWidth="1"/>
    <col min="4" max="4" width="12" customWidth="1"/>
    <col min="5" max="5" width="13.875" customWidth="1"/>
    <col min="6" max="6" width="15.75" customWidth="1"/>
    <col min="7" max="7" width="19.625" style="2" customWidth="1"/>
    <col min="8" max="8" width="14.625" style="2" customWidth="1"/>
    <col min="9" max="9" width="19.625" style="2" customWidth="1"/>
    <col min="10" max="10" width="2.125" customWidth="1"/>
    <col min="11" max="11" width="5" customWidth="1"/>
  </cols>
  <sheetData>
    <row r="1" spans="1:11" ht="18.75" customHeight="1">
      <c r="A1" s="79"/>
      <c r="B1" s="79"/>
      <c r="C1" s="79"/>
      <c r="D1" s="79"/>
      <c r="E1" s="79"/>
      <c r="F1" s="79"/>
      <c r="G1" s="79"/>
      <c r="H1" s="79"/>
      <c r="I1" s="85">
        <v>45595</v>
      </c>
      <c r="J1" s="85"/>
      <c r="K1" s="79"/>
    </row>
    <row r="2" spans="1:11" ht="25.5">
      <c r="A2" s="1062" t="s">
        <v>601</v>
      </c>
      <c r="B2" s="1062"/>
      <c r="C2" s="1062"/>
      <c r="D2" s="1062"/>
      <c r="E2" s="1062"/>
      <c r="F2" s="1062"/>
      <c r="G2" s="1062"/>
      <c r="H2" s="1062"/>
      <c r="I2" s="1062"/>
      <c r="J2" s="79"/>
    </row>
    <row r="3" spans="1:11" ht="15.6" customHeight="1">
      <c r="A3" s="86"/>
      <c r="B3" s="86"/>
      <c r="C3" s="86"/>
      <c r="D3" s="86"/>
      <c r="E3" s="86"/>
      <c r="F3" s="86"/>
      <c r="G3" s="86"/>
      <c r="H3" s="86"/>
      <c r="I3" s="86"/>
      <c r="J3" s="87" t="s">
        <v>443</v>
      </c>
    </row>
    <row r="4" spans="1:11" ht="18" customHeight="1">
      <c r="A4" s="88" t="s">
        <v>370</v>
      </c>
      <c r="B4" s="86"/>
      <c r="C4" s="86"/>
      <c r="D4" s="86"/>
      <c r="E4" s="86"/>
      <c r="F4" s="86"/>
      <c r="G4" s="86"/>
      <c r="H4" s="86"/>
      <c r="I4" s="86"/>
      <c r="J4" s="79"/>
    </row>
    <row r="5" spans="1:11" ht="20.100000000000001" customHeight="1">
      <c r="A5" s="1001" t="s">
        <v>648</v>
      </c>
      <c r="B5" s="1001"/>
      <c r="C5" s="1001"/>
      <c r="D5" s="1001"/>
      <c r="E5" s="1001"/>
      <c r="F5" s="1001"/>
      <c r="G5" s="1001"/>
      <c r="H5" s="1001"/>
      <c r="I5" s="1001"/>
      <c r="J5" s="79"/>
    </row>
    <row r="6" spans="1:11" ht="20.100000000000001" customHeight="1">
      <c r="A6" s="1001"/>
      <c r="B6" s="1001"/>
      <c r="C6" s="1001"/>
      <c r="D6" s="1001"/>
      <c r="E6" s="1001"/>
      <c r="F6" s="1001"/>
      <c r="G6" s="1001"/>
      <c r="H6" s="1001"/>
      <c r="I6" s="1001"/>
      <c r="J6" s="79"/>
    </row>
    <row r="7" spans="1:11" ht="20.100000000000001" customHeight="1">
      <c r="A7" s="1001"/>
      <c r="B7" s="1001"/>
      <c r="C7" s="1001"/>
      <c r="D7" s="1001"/>
      <c r="E7" s="1001"/>
      <c r="F7" s="1001"/>
      <c r="G7" s="1001"/>
      <c r="H7" s="1001"/>
      <c r="I7" s="1001"/>
      <c r="J7" s="79"/>
    </row>
    <row r="8" spans="1:11" ht="20.100000000000001" customHeight="1">
      <c r="A8" s="1001"/>
      <c r="B8" s="1001"/>
      <c r="C8" s="1001"/>
      <c r="D8" s="1001"/>
      <c r="E8" s="1001"/>
      <c r="F8" s="1001"/>
      <c r="G8" s="1001"/>
      <c r="H8" s="1001"/>
      <c r="I8" s="1001"/>
      <c r="J8" s="79"/>
    </row>
    <row r="9" spans="1:11" ht="20.100000000000001" customHeight="1">
      <c r="A9" s="1001"/>
      <c r="B9" s="1001"/>
      <c r="C9" s="1001"/>
      <c r="D9" s="1001"/>
      <c r="E9" s="1001"/>
      <c r="F9" s="1001"/>
      <c r="G9" s="1001"/>
      <c r="H9" s="1001"/>
      <c r="I9" s="1001"/>
      <c r="J9" s="79"/>
    </row>
    <row r="10" spans="1:11" ht="20.100000000000001" customHeight="1">
      <c r="A10" s="1001"/>
      <c r="B10" s="1001"/>
      <c r="C10" s="1001"/>
      <c r="D10" s="1001"/>
      <c r="E10" s="1001"/>
      <c r="F10" s="1001"/>
      <c r="G10" s="1001"/>
      <c r="H10" s="1001"/>
      <c r="I10" s="1001"/>
      <c r="J10" s="79"/>
    </row>
    <row r="11" spans="1:11" ht="20.100000000000001" customHeight="1">
      <c r="A11" s="1001"/>
      <c r="B11" s="1001"/>
      <c r="C11" s="1001"/>
      <c r="D11" s="1001"/>
      <c r="E11" s="1001"/>
      <c r="F11" s="1001"/>
      <c r="G11" s="1001"/>
      <c r="H11" s="1001"/>
      <c r="I11" s="1001"/>
      <c r="J11" s="79"/>
    </row>
    <row r="12" spans="1:11" ht="20.100000000000001" customHeight="1">
      <c r="A12" s="1001"/>
      <c r="B12" s="1001"/>
      <c r="C12" s="1001"/>
      <c r="D12" s="1001"/>
      <c r="E12" s="1001"/>
      <c r="F12" s="1001"/>
      <c r="G12" s="1001"/>
      <c r="H12" s="1001"/>
      <c r="I12" s="1001"/>
      <c r="J12" s="79"/>
    </row>
    <row r="13" spans="1:11" ht="20.100000000000001" customHeight="1">
      <c r="A13" s="1001"/>
      <c r="B13" s="1001"/>
      <c r="C13" s="1001"/>
      <c r="D13" s="1001"/>
      <c r="E13" s="1001"/>
      <c r="F13" s="1001"/>
      <c r="G13" s="1001"/>
      <c r="H13" s="1001"/>
      <c r="I13" s="1001"/>
      <c r="J13" s="79"/>
    </row>
    <row r="14" spans="1:11" ht="20.100000000000001" customHeight="1">
      <c r="A14" s="1001"/>
      <c r="B14" s="1001"/>
      <c r="C14" s="1001"/>
      <c r="D14" s="1001"/>
      <c r="E14" s="1001"/>
      <c r="F14" s="1001"/>
      <c r="G14" s="1001"/>
      <c r="H14" s="1001"/>
      <c r="I14" s="1001"/>
      <c r="J14" s="79"/>
    </row>
    <row r="15" spans="1:11" ht="20.100000000000001" customHeight="1">
      <c r="A15" s="1001"/>
      <c r="B15" s="1001"/>
      <c r="C15" s="1001"/>
      <c r="D15" s="1001"/>
      <c r="E15" s="1001"/>
      <c r="F15" s="1001"/>
      <c r="G15" s="1001"/>
      <c r="H15" s="1001"/>
      <c r="I15" s="1001"/>
      <c r="J15" s="79"/>
    </row>
    <row r="16" spans="1:11" ht="20.100000000000001" customHeight="1">
      <c r="A16" s="1001"/>
      <c r="B16" s="1001"/>
      <c r="C16" s="1001"/>
      <c r="D16" s="1001"/>
      <c r="E16" s="1001"/>
      <c r="F16" s="1001"/>
      <c r="G16" s="1001"/>
      <c r="H16" s="1001"/>
      <c r="I16" s="1001"/>
      <c r="J16" s="79"/>
    </row>
    <row r="17" spans="1:17" ht="20.100000000000001" customHeight="1">
      <c r="A17" s="89" t="s">
        <v>452</v>
      </c>
      <c r="B17" s="1090" t="s">
        <v>468</v>
      </c>
      <c r="C17" s="1090"/>
      <c r="D17" s="1090"/>
      <c r="E17" s="1090"/>
      <c r="F17" s="1090"/>
      <c r="G17" s="1090"/>
      <c r="H17" s="1090"/>
      <c r="I17" s="1090"/>
      <c r="J17" s="79"/>
    </row>
    <row r="18" spans="1:17" ht="20.100000000000001" customHeight="1">
      <c r="A18" s="90"/>
      <c r="B18" s="1090"/>
      <c r="C18" s="1090"/>
      <c r="D18" s="1090"/>
      <c r="E18" s="1090"/>
      <c r="F18" s="1090"/>
      <c r="G18" s="1090"/>
      <c r="H18" s="1090"/>
      <c r="I18" s="1090"/>
      <c r="J18" s="79"/>
    </row>
    <row r="19" spans="1:17" ht="20.100000000000001" customHeight="1">
      <c r="A19" s="88" t="s">
        <v>640</v>
      </c>
      <c r="B19" s="79"/>
      <c r="C19" s="79"/>
      <c r="D19" s="79"/>
      <c r="E19" s="79"/>
      <c r="F19" s="79"/>
      <c r="G19" s="76"/>
      <c r="H19" s="76"/>
      <c r="I19" s="76"/>
      <c r="J19" s="79"/>
      <c r="Q19" s="40"/>
    </row>
    <row r="20" spans="1:17" ht="20.100000000000001" customHeight="1">
      <c r="A20" s="88" t="s">
        <v>641</v>
      </c>
      <c r="B20" s="79"/>
      <c r="C20" s="79"/>
      <c r="D20" s="79"/>
      <c r="E20" s="79"/>
      <c r="F20" s="79"/>
      <c r="G20" s="76"/>
      <c r="H20" s="76"/>
      <c r="I20" s="76"/>
      <c r="J20" s="79"/>
    </row>
    <row r="21" spans="1:17" ht="20.100000000000001" customHeight="1">
      <c r="A21" s="88"/>
      <c r="B21" s="109" t="s">
        <v>642</v>
      </c>
      <c r="C21" s="79"/>
      <c r="D21" s="79"/>
      <c r="E21" s="79"/>
      <c r="F21" s="79"/>
      <c r="G21" s="76"/>
      <c r="H21" s="76"/>
      <c r="I21" s="76"/>
      <c r="J21" s="79"/>
    </row>
    <row r="22" spans="1:17" ht="20.100000000000001" customHeight="1">
      <c r="A22" s="88"/>
      <c r="B22" s="79" t="s">
        <v>520</v>
      </c>
      <c r="C22" s="79"/>
      <c r="D22" s="79"/>
      <c r="E22" s="79"/>
      <c r="F22" s="79"/>
      <c r="G22" s="76"/>
      <c r="H22" s="76"/>
      <c r="I22" s="76"/>
      <c r="J22" s="79"/>
    </row>
    <row r="23" spans="1:17" ht="20.100000000000001" customHeight="1">
      <c r="A23" s="88"/>
      <c r="B23" s="109" t="s">
        <v>643</v>
      </c>
      <c r="C23" s="109"/>
      <c r="D23" s="109"/>
      <c r="E23" s="109"/>
      <c r="F23" s="79"/>
      <c r="G23" s="76"/>
      <c r="H23" s="76"/>
      <c r="I23" s="76"/>
      <c r="J23" s="79"/>
    </row>
    <row r="24" spans="1:17" ht="20.100000000000001" customHeight="1">
      <c r="A24" s="88"/>
      <c r="B24" s="109" t="s">
        <v>521</v>
      </c>
      <c r="C24" s="109"/>
      <c r="D24" s="109"/>
      <c r="E24" s="109"/>
      <c r="F24" s="79"/>
      <c r="G24" s="76"/>
      <c r="H24" s="76"/>
      <c r="I24" s="76"/>
      <c r="J24" s="79"/>
    </row>
    <row r="25" spans="1:17" ht="20.100000000000001" customHeight="1">
      <c r="A25" s="79"/>
      <c r="B25" s="109" t="s">
        <v>537</v>
      </c>
      <c r="C25" s="109"/>
      <c r="D25" s="109"/>
      <c r="E25" s="109"/>
      <c r="F25" s="109"/>
      <c r="G25" s="355"/>
      <c r="H25" s="355"/>
      <c r="I25" s="355"/>
      <c r="J25" s="79"/>
    </row>
    <row r="26" spans="1:17" ht="20.100000000000001" customHeight="1">
      <c r="A26" s="79"/>
      <c r="B26" s="109" t="s">
        <v>644</v>
      </c>
      <c r="C26" s="109"/>
      <c r="D26" s="109"/>
      <c r="E26" s="109"/>
      <c r="F26" s="109"/>
      <c r="G26" s="355"/>
      <c r="H26" s="355"/>
      <c r="I26" s="355"/>
      <c r="J26" s="79"/>
    </row>
    <row r="27" spans="1:17" ht="20.100000000000001" customHeight="1">
      <c r="A27" s="79"/>
      <c r="B27" s="109" t="s">
        <v>645</v>
      </c>
      <c r="C27" s="109"/>
      <c r="D27" s="109"/>
      <c r="E27" s="109"/>
      <c r="F27" s="109"/>
      <c r="G27" s="355"/>
      <c r="H27" s="355"/>
      <c r="I27" s="355"/>
      <c r="J27" s="79"/>
    </row>
    <row r="28" spans="1:17" ht="20.100000000000001" customHeight="1" thickBot="1">
      <c r="A28" s="79"/>
      <c r="B28" s="1063" t="s">
        <v>169</v>
      </c>
      <c r="C28" s="1063"/>
      <c r="D28" s="1063"/>
      <c r="E28" s="1063"/>
      <c r="F28" s="1063"/>
      <c r="G28" s="1063"/>
      <c r="H28" s="1063"/>
      <c r="I28" s="1063"/>
      <c r="J28" s="79"/>
    </row>
    <row r="29" spans="1:17" ht="19.899999999999999" customHeight="1" thickBot="1">
      <c r="A29" s="79"/>
      <c r="B29" s="1087" t="s">
        <v>135</v>
      </c>
      <c r="C29" s="1088"/>
      <c r="D29" s="1089"/>
      <c r="E29" s="1076" t="s">
        <v>136</v>
      </c>
      <c r="F29" s="1077"/>
      <c r="G29" s="1077"/>
      <c r="H29" s="1078"/>
      <c r="I29" s="1079"/>
      <c r="J29" s="79"/>
      <c r="K29" s="2"/>
    </row>
    <row r="30" spans="1:17" ht="39.950000000000003" customHeight="1">
      <c r="A30" s="79"/>
      <c r="B30" s="1067" t="s">
        <v>489</v>
      </c>
      <c r="C30" s="1068"/>
      <c r="D30" s="1069"/>
      <c r="E30" s="1072" t="s">
        <v>498</v>
      </c>
      <c r="F30" s="1073"/>
      <c r="G30" s="1073"/>
      <c r="H30" s="1074"/>
      <c r="I30" s="1075"/>
      <c r="J30" s="79"/>
      <c r="K30" s="2"/>
    </row>
    <row r="31" spans="1:17" ht="20.100000000000001" customHeight="1">
      <c r="A31" s="79"/>
      <c r="B31" s="1084" t="s">
        <v>413</v>
      </c>
      <c r="C31" s="1085"/>
      <c r="D31" s="1086"/>
      <c r="E31" s="466" t="s">
        <v>555</v>
      </c>
      <c r="F31" s="467"/>
      <c r="G31" s="467"/>
      <c r="H31" s="1071"/>
      <c r="I31" s="468"/>
      <c r="J31" s="79"/>
      <c r="K31" s="2"/>
    </row>
    <row r="32" spans="1:17" s="12" customFormat="1" ht="34.9" customHeight="1">
      <c r="A32" s="91"/>
      <c r="B32" s="1080" t="s">
        <v>414</v>
      </c>
      <c r="C32" s="1081"/>
      <c r="D32" s="1082"/>
      <c r="E32" s="1067" t="s">
        <v>556</v>
      </c>
      <c r="F32" s="1068"/>
      <c r="G32" s="1068"/>
      <c r="H32" s="1069"/>
      <c r="I32" s="1070"/>
      <c r="J32" s="91"/>
      <c r="K32" s="13"/>
    </row>
    <row r="33" spans="1:11" ht="20.100000000000001" customHeight="1">
      <c r="A33" s="79"/>
      <c r="B33" s="466" t="s">
        <v>557</v>
      </c>
      <c r="C33" s="467"/>
      <c r="D33" s="1071"/>
      <c r="E33" s="466" t="s">
        <v>558</v>
      </c>
      <c r="F33" s="467"/>
      <c r="G33" s="467"/>
      <c r="H33" s="1071"/>
      <c r="I33" s="468"/>
      <c r="J33" s="79"/>
      <c r="K33" s="2"/>
    </row>
    <row r="34" spans="1:11" ht="34.9" customHeight="1">
      <c r="A34" s="79"/>
      <c r="B34" s="1067" t="s">
        <v>559</v>
      </c>
      <c r="C34" s="1068"/>
      <c r="D34" s="1069"/>
      <c r="E34" s="1067" t="s">
        <v>444</v>
      </c>
      <c r="F34" s="1068"/>
      <c r="G34" s="1068"/>
      <c r="H34" s="1069"/>
      <c r="I34" s="1070"/>
      <c r="J34" s="79"/>
      <c r="K34" s="12"/>
    </row>
    <row r="35" spans="1:11" ht="55.5" customHeight="1">
      <c r="A35" s="79"/>
      <c r="B35" s="1067" t="s">
        <v>415</v>
      </c>
      <c r="C35" s="1068"/>
      <c r="D35" s="1069"/>
      <c r="E35" s="1067" t="s">
        <v>384</v>
      </c>
      <c r="F35" s="1068"/>
      <c r="G35" s="1068"/>
      <c r="H35" s="1069"/>
      <c r="I35" s="1070"/>
      <c r="J35" s="79"/>
      <c r="K35" s="12"/>
    </row>
    <row r="36" spans="1:11" ht="36" customHeight="1">
      <c r="A36" s="79"/>
      <c r="B36" s="1080" t="s">
        <v>560</v>
      </c>
      <c r="C36" s="1081"/>
      <c r="D36" s="1082"/>
      <c r="E36" s="1067" t="s">
        <v>561</v>
      </c>
      <c r="F36" s="1068"/>
      <c r="G36" s="1068"/>
      <c r="H36" s="1069"/>
      <c r="I36" s="1070"/>
      <c r="J36" s="79"/>
      <c r="K36" s="4"/>
    </row>
    <row r="37" spans="1:11" ht="23.25" customHeight="1" thickBot="1">
      <c r="A37" s="79"/>
      <c r="B37" s="1064" t="s">
        <v>416</v>
      </c>
      <c r="C37" s="1022"/>
      <c r="D37" s="1083"/>
      <c r="E37" s="1064" t="s">
        <v>626</v>
      </c>
      <c r="F37" s="1065"/>
      <c r="G37" s="1065"/>
      <c r="H37" s="1065"/>
      <c r="I37" s="1066"/>
      <c r="J37" s="79"/>
      <c r="K37" s="12"/>
    </row>
    <row r="38" spans="1:11" ht="15" customHeight="1">
      <c r="A38" s="79"/>
      <c r="B38" s="79"/>
      <c r="C38" s="92"/>
      <c r="D38" s="91"/>
      <c r="E38" s="79"/>
      <c r="F38" s="79"/>
      <c r="G38" s="93"/>
      <c r="H38" s="93"/>
      <c r="I38" s="93"/>
      <c r="J38" s="79"/>
      <c r="K38" s="12"/>
    </row>
    <row r="39" spans="1:11" ht="20.100000000000001" customHeight="1">
      <c r="A39" s="88" t="s">
        <v>417</v>
      </c>
      <c r="B39" s="79"/>
      <c r="C39" s="92"/>
      <c r="D39" s="91"/>
      <c r="E39" s="79"/>
      <c r="F39" s="79"/>
      <c r="G39" s="93"/>
      <c r="H39" s="93"/>
      <c r="I39" s="93"/>
      <c r="J39" s="79"/>
      <c r="K39" s="12"/>
    </row>
    <row r="40" spans="1:11" ht="20.100000000000001" customHeight="1">
      <c r="A40" s="79" t="s">
        <v>137</v>
      </c>
      <c r="B40" s="79" t="s">
        <v>144</v>
      </c>
      <c r="C40" s="92"/>
      <c r="D40" s="91"/>
      <c r="E40" s="79"/>
      <c r="F40" s="79"/>
      <c r="G40" s="93"/>
      <c r="H40" s="93"/>
      <c r="I40" s="93"/>
      <c r="J40" s="79"/>
      <c r="K40" s="12"/>
    </row>
    <row r="41" spans="1:11" ht="20.100000000000001" customHeight="1">
      <c r="A41" s="79" t="s">
        <v>138</v>
      </c>
      <c r="B41" s="79"/>
      <c r="C41" s="92"/>
      <c r="D41" s="91"/>
      <c r="E41" s="79"/>
      <c r="F41" s="79"/>
      <c r="G41" s="93"/>
      <c r="H41" s="93"/>
      <c r="I41" s="93"/>
      <c r="J41" s="79"/>
      <c r="K41" s="12"/>
    </row>
    <row r="42" spans="1:11" ht="20.100000000000001" customHeight="1">
      <c r="A42" s="79"/>
      <c r="B42" s="79" t="s">
        <v>497</v>
      </c>
      <c r="C42" s="92"/>
      <c r="D42" s="91"/>
      <c r="E42" s="79"/>
      <c r="F42" s="79"/>
      <c r="G42" s="93"/>
      <c r="H42" s="93"/>
      <c r="I42" s="93"/>
      <c r="J42" s="79"/>
      <c r="K42" s="12"/>
    </row>
    <row r="43" spans="1:11" ht="20.100000000000001" customHeight="1">
      <c r="A43" s="79"/>
      <c r="B43" s="79" t="s">
        <v>562</v>
      </c>
      <c r="C43" s="251"/>
      <c r="D43" s="252"/>
      <c r="E43" s="109"/>
      <c r="F43" s="109"/>
      <c r="G43" s="253"/>
      <c r="H43" s="253"/>
      <c r="I43" s="253"/>
      <c r="J43" s="79"/>
      <c r="K43" s="12"/>
    </row>
    <row r="44" spans="1:11" ht="47.25" customHeight="1">
      <c r="A44" s="79"/>
      <c r="B44" s="1120" t="s">
        <v>563</v>
      </c>
      <c r="C44" s="1120"/>
      <c r="D44" s="1120"/>
      <c r="E44" s="1120"/>
      <c r="F44" s="1120"/>
      <c r="G44" s="1120"/>
      <c r="H44" s="1120"/>
      <c r="I44" s="1120"/>
      <c r="J44" s="76"/>
      <c r="K44" s="12"/>
    </row>
    <row r="45" spans="1:11" ht="20.100000000000001" customHeight="1">
      <c r="A45" s="79"/>
      <c r="B45" s="79"/>
      <c r="C45" s="92"/>
      <c r="D45" s="91"/>
      <c r="E45" s="79"/>
      <c r="F45" s="79"/>
      <c r="G45" s="93"/>
      <c r="H45" s="93"/>
      <c r="I45" s="93"/>
      <c r="J45" s="79"/>
      <c r="K45" s="12"/>
    </row>
    <row r="46" spans="1:11" ht="20.100000000000001" customHeight="1">
      <c r="A46" s="79"/>
      <c r="B46" s="79"/>
      <c r="C46" s="92"/>
      <c r="D46" s="91"/>
      <c r="E46" s="79"/>
      <c r="F46" s="79"/>
      <c r="G46" s="93"/>
      <c r="H46" s="93"/>
      <c r="I46" s="93"/>
      <c r="J46" s="79"/>
      <c r="K46" s="12"/>
    </row>
    <row r="47" spans="1:11" ht="20.100000000000001" customHeight="1">
      <c r="A47" s="79"/>
      <c r="B47" s="79"/>
      <c r="C47" s="92"/>
      <c r="D47" s="91"/>
      <c r="E47" s="79"/>
      <c r="F47" s="79"/>
      <c r="G47" s="93"/>
      <c r="H47" s="93"/>
      <c r="I47" s="93"/>
      <c r="J47" s="79"/>
      <c r="K47" s="12"/>
    </row>
    <row r="48" spans="1:11" ht="20.100000000000001" customHeight="1">
      <c r="A48" s="79"/>
      <c r="B48" s="79"/>
      <c r="C48" s="92"/>
      <c r="D48" s="91"/>
      <c r="E48" s="79"/>
      <c r="F48" s="79"/>
      <c r="G48" s="93"/>
      <c r="H48" s="93"/>
      <c r="I48" s="93"/>
      <c r="J48" s="79"/>
      <c r="K48" s="12"/>
    </row>
    <row r="49" spans="1:11" ht="20.100000000000001" customHeight="1">
      <c r="A49" s="79"/>
      <c r="B49" s="79"/>
      <c r="C49" s="92"/>
      <c r="D49" s="91"/>
      <c r="E49" s="79"/>
      <c r="F49" s="79"/>
      <c r="G49" s="93"/>
      <c r="H49" s="93"/>
      <c r="I49" s="93"/>
      <c r="J49" s="79"/>
      <c r="K49" s="12"/>
    </row>
    <row r="50" spans="1:11" ht="20.100000000000001" customHeight="1">
      <c r="A50" s="79"/>
      <c r="B50" s="79"/>
      <c r="C50" s="92"/>
      <c r="D50" s="91"/>
      <c r="E50" s="79"/>
      <c r="F50" s="79"/>
      <c r="G50" s="93"/>
      <c r="H50" s="93"/>
      <c r="I50" s="93"/>
      <c r="J50" s="79"/>
      <c r="K50" s="12"/>
    </row>
    <row r="51" spans="1:11" ht="20.100000000000001" customHeight="1">
      <c r="A51" s="79"/>
      <c r="B51" s="79"/>
      <c r="C51" s="92"/>
      <c r="D51" s="91"/>
      <c r="E51" s="79"/>
      <c r="F51" s="79"/>
      <c r="G51" s="93"/>
      <c r="H51" s="93"/>
      <c r="I51" s="93"/>
      <c r="J51" s="79"/>
      <c r="K51" s="12"/>
    </row>
    <row r="52" spans="1:11" ht="20.100000000000001" customHeight="1">
      <c r="A52" s="79"/>
      <c r="B52" s="79"/>
      <c r="C52" s="92"/>
      <c r="D52" s="91"/>
      <c r="E52" s="79"/>
      <c r="F52" s="79"/>
      <c r="G52" s="93"/>
      <c r="H52" s="93"/>
      <c r="I52" s="93"/>
      <c r="J52" s="79"/>
      <c r="K52" s="12"/>
    </row>
    <row r="53" spans="1:11" ht="20.100000000000001" customHeight="1">
      <c r="A53" s="79"/>
      <c r="B53" s="79"/>
      <c r="C53" s="92"/>
      <c r="D53" s="91"/>
      <c r="E53" s="79"/>
      <c r="F53" s="79"/>
      <c r="G53" s="93"/>
      <c r="H53" s="93"/>
      <c r="I53" s="93"/>
      <c r="J53" s="79"/>
      <c r="K53" s="12"/>
    </row>
    <row r="54" spans="1:11" ht="20.100000000000001" customHeight="1">
      <c r="A54" s="79"/>
      <c r="B54" s="79"/>
      <c r="C54" s="92"/>
      <c r="D54" s="91"/>
      <c r="E54" s="79"/>
      <c r="F54" s="79"/>
      <c r="G54" s="93"/>
      <c r="H54" s="93"/>
      <c r="I54" s="93"/>
      <c r="J54" s="79"/>
      <c r="K54" s="12"/>
    </row>
    <row r="55" spans="1:11" ht="20.100000000000001" customHeight="1">
      <c r="A55" s="79"/>
      <c r="B55" s="79"/>
      <c r="C55" s="92"/>
      <c r="D55" s="91"/>
      <c r="E55" s="79"/>
      <c r="F55" s="79"/>
      <c r="G55" s="93"/>
      <c r="H55" s="93"/>
      <c r="I55" s="93"/>
      <c r="J55" s="79"/>
      <c r="K55" s="12"/>
    </row>
    <row r="56" spans="1:11" ht="20.100000000000001" customHeight="1">
      <c r="A56" s="93"/>
      <c r="B56" s="93"/>
      <c r="C56" s="93"/>
      <c r="D56" s="93"/>
      <c r="E56" s="93"/>
      <c r="F56" s="93"/>
      <c r="G56" s="94"/>
      <c r="H56" s="94"/>
      <c r="I56" s="94"/>
      <c r="J56" s="91"/>
    </row>
    <row r="57" spans="1:11" ht="20.100000000000001" customHeight="1">
      <c r="A57" s="79" t="s">
        <v>139</v>
      </c>
      <c r="B57" s="79"/>
      <c r="C57" s="92"/>
      <c r="D57" s="91"/>
      <c r="E57" s="79"/>
      <c r="F57" s="79"/>
      <c r="G57" s="93"/>
      <c r="H57" s="93"/>
      <c r="I57" s="93"/>
      <c r="J57" s="79"/>
      <c r="K57" s="12"/>
    </row>
    <row r="58" spans="1:11" ht="20.100000000000001" customHeight="1">
      <c r="A58" s="79"/>
      <c r="B58" s="79" t="s">
        <v>564</v>
      </c>
      <c r="C58" s="92"/>
      <c r="D58" s="91"/>
      <c r="E58" s="79"/>
      <c r="F58" s="79"/>
      <c r="G58" s="93"/>
      <c r="H58" s="93"/>
      <c r="I58" s="93"/>
      <c r="J58" s="79"/>
      <c r="K58" s="12"/>
    </row>
    <row r="59" spans="1:11" ht="20.100000000000001" customHeight="1">
      <c r="A59" s="79"/>
      <c r="B59" s="79"/>
      <c r="C59" s="92"/>
      <c r="D59" s="91"/>
      <c r="E59" s="79"/>
      <c r="F59" s="79"/>
      <c r="G59" s="93"/>
      <c r="H59" s="93"/>
      <c r="I59" s="93"/>
      <c r="J59" s="79"/>
      <c r="K59" s="12"/>
    </row>
    <row r="60" spans="1:11" ht="20.100000000000001" customHeight="1">
      <c r="A60" s="79"/>
      <c r="B60" s="79"/>
      <c r="C60" s="92"/>
      <c r="D60" s="91"/>
      <c r="E60" s="79"/>
      <c r="F60" s="79"/>
      <c r="G60" s="93"/>
      <c r="H60" s="93"/>
      <c r="I60" s="93"/>
      <c r="J60" s="79"/>
      <c r="K60" s="12"/>
    </row>
    <row r="61" spans="1:11" ht="20.100000000000001" customHeight="1">
      <c r="A61" s="79"/>
      <c r="B61" s="79"/>
      <c r="C61" s="92"/>
      <c r="D61" s="91"/>
      <c r="E61" s="79"/>
      <c r="F61" s="79"/>
      <c r="G61" s="93"/>
      <c r="H61" s="93"/>
      <c r="I61" s="93"/>
      <c r="J61" s="79"/>
      <c r="K61" s="12"/>
    </row>
    <row r="62" spans="1:11" ht="20.100000000000001" customHeight="1">
      <c r="A62" s="79"/>
      <c r="B62" s="79"/>
      <c r="C62" s="92"/>
      <c r="D62" s="91"/>
      <c r="E62" s="79"/>
      <c r="F62" s="79"/>
      <c r="G62" s="93"/>
      <c r="H62" s="93"/>
      <c r="I62" s="93"/>
      <c r="J62" s="79"/>
      <c r="K62" s="12"/>
    </row>
    <row r="63" spans="1:11" ht="20.100000000000001" customHeight="1">
      <c r="A63" s="79"/>
      <c r="B63" s="79"/>
      <c r="C63" s="92"/>
      <c r="D63" s="91"/>
      <c r="E63" s="79"/>
      <c r="F63" s="79"/>
      <c r="G63" s="93"/>
      <c r="H63" s="93"/>
      <c r="I63" s="93"/>
      <c r="J63" s="79"/>
      <c r="K63" s="12"/>
    </row>
    <row r="64" spans="1:11" ht="20.100000000000001" customHeight="1">
      <c r="A64" s="79"/>
      <c r="B64" s="79"/>
      <c r="C64" s="92"/>
      <c r="D64" s="91"/>
      <c r="E64" s="79"/>
      <c r="F64" s="79"/>
      <c r="G64" s="93"/>
      <c r="H64" s="93"/>
      <c r="I64" s="93"/>
      <c r="J64" s="79"/>
      <c r="K64" s="12"/>
    </row>
    <row r="65" spans="1:11" ht="20.100000000000001" customHeight="1">
      <c r="A65" s="75"/>
      <c r="B65" s="91"/>
      <c r="C65" s="79"/>
      <c r="D65" s="91"/>
      <c r="E65" s="93"/>
      <c r="F65" s="93"/>
      <c r="G65" s="91"/>
      <c r="H65" s="91"/>
      <c r="I65" s="91"/>
      <c r="J65" s="79"/>
    </row>
    <row r="66" spans="1:11" ht="20.100000000000001" customHeight="1" thickBot="1">
      <c r="A66" s="79"/>
      <c r="B66" s="964" t="s">
        <v>170</v>
      </c>
      <c r="C66" s="964"/>
      <c r="D66" s="964"/>
      <c r="E66" s="964"/>
      <c r="F66" s="964"/>
      <c r="G66" s="964"/>
      <c r="H66" s="964"/>
      <c r="I66" s="964"/>
      <c r="J66" s="79"/>
    </row>
    <row r="67" spans="1:11" ht="20.100000000000001" customHeight="1" thickBot="1">
      <c r="A67" s="79"/>
      <c r="B67" s="1115" t="s">
        <v>135</v>
      </c>
      <c r="C67" s="1116"/>
      <c r="D67" s="1117"/>
      <c r="E67" s="1121" t="s">
        <v>143</v>
      </c>
      <c r="F67" s="1122"/>
      <c r="G67" s="1122"/>
      <c r="H67" s="1122"/>
      <c r="I67" s="1123"/>
      <c r="J67" s="79"/>
      <c r="K67" s="2"/>
    </row>
    <row r="68" spans="1:11" ht="20.100000000000001" customHeight="1">
      <c r="A68" s="79"/>
      <c r="B68" s="928" t="s">
        <v>418</v>
      </c>
      <c r="C68" s="929"/>
      <c r="D68" s="930"/>
      <c r="E68" s="1111" t="s">
        <v>140</v>
      </c>
      <c r="F68" s="1112"/>
      <c r="G68" s="1112"/>
      <c r="H68" s="1112"/>
      <c r="I68" s="1113"/>
      <c r="J68" s="79"/>
      <c r="K68" s="2"/>
    </row>
    <row r="69" spans="1:11" ht="20.100000000000001" customHeight="1">
      <c r="A69" s="79"/>
      <c r="B69" s="928" t="s">
        <v>419</v>
      </c>
      <c r="C69" s="929"/>
      <c r="D69" s="930"/>
      <c r="E69" s="1024" t="s">
        <v>141</v>
      </c>
      <c r="F69" s="1025"/>
      <c r="G69" s="1025"/>
      <c r="H69" s="1025"/>
      <c r="I69" s="1026"/>
      <c r="J69" s="79"/>
      <c r="K69" s="2"/>
    </row>
    <row r="70" spans="1:11" ht="20.100000000000001" customHeight="1">
      <c r="A70" s="79"/>
      <c r="B70" s="928" t="s">
        <v>420</v>
      </c>
      <c r="C70" s="929"/>
      <c r="D70" s="930"/>
      <c r="E70" s="1024" t="s">
        <v>142</v>
      </c>
      <c r="F70" s="1025"/>
      <c r="G70" s="1025"/>
      <c r="H70" s="1025"/>
      <c r="I70" s="1026"/>
      <c r="J70" s="79"/>
      <c r="K70" s="2"/>
    </row>
    <row r="71" spans="1:11" ht="20.100000000000001" customHeight="1">
      <c r="A71" s="79"/>
      <c r="B71" s="938" t="s">
        <v>565</v>
      </c>
      <c r="C71" s="939"/>
      <c r="D71" s="940"/>
      <c r="E71" s="958" t="s">
        <v>387</v>
      </c>
      <c r="F71" s="959"/>
      <c r="G71" s="959"/>
      <c r="H71" s="959"/>
      <c r="I71" s="960"/>
      <c r="J71" s="79"/>
      <c r="K71" s="12"/>
    </row>
    <row r="72" spans="1:11" ht="20.100000000000001" customHeight="1">
      <c r="A72" s="79"/>
      <c r="B72" s="938" t="s">
        <v>566</v>
      </c>
      <c r="C72" s="939"/>
      <c r="D72" s="940"/>
      <c r="E72" s="958" t="s">
        <v>567</v>
      </c>
      <c r="F72" s="959"/>
      <c r="G72" s="959"/>
      <c r="H72" s="959"/>
      <c r="I72" s="960"/>
      <c r="J72" s="79"/>
      <c r="K72" s="12"/>
    </row>
    <row r="73" spans="1:11" ht="20.100000000000001" customHeight="1">
      <c r="A73" s="79"/>
      <c r="B73" s="938" t="s">
        <v>568</v>
      </c>
      <c r="C73" s="939"/>
      <c r="D73" s="940"/>
      <c r="E73" s="958" t="s">
        <v>569</v>
      </c>
      <c r="F73" s="959"/>
      <c r="G73" s="959"/>
      <c r="H73" s="959"/>
      <c r="I73" s="960"/>
      <c r="J73" s="79"/>
      <c r="K73" s="12"/>
    </row>
    <row r="74" spans="1:11" ht="20.100000000000001" customHeight="1">
      <c r="A74" s="79"/>
      <c r="B74" s="938" t="s">
        <v>573</v>
      </c>
      <c r="C74" s="939"/>
      <c r="D74" s="940"/>
      <c r="E74" s="958" t="s">
        <v>570</v>
      </c>
      <c r="F74" s="959"/>
      <c r="G74" s="959"/>
      <c r="H74" s="959"/>
      <c r="I74" s="960"/>
      <c r="J74" s="79"/>
      <c r="K74" s="12"/>
    </row>
    <row r="75" spans="1:11" ht="20.100000000000001" customHeight="1">
      <c r="A75" s="79"/>
      <c r="B75" s="938" t="s">
        <v>572</v>
      </c>
      <c r="C75" s="939"/>
      <c r="D75" s="940"/>
      <c r="E75" s="958" t="s">
        <v>571</v>
      </c>
      <c r="F75" s="959"/>
      <c r="G75" s="959"/>
      <c r="H75" s="959"/>
      <c r="I75" s="960"/>
      <c r="J75" s="79"/>
      <c r="K75" s="12"/>
    </row>
    <row r="76" spans="1:11" ht="20.100000000000001" customHeight="1">
      <c r="A76" s="79"/>
      <c r="B76" s="938" t="s">
        <v>574</v>
      </c>
      <c r="C76" s="939"/>
      <c r="D76" s="940"/>
      <c r="E76" s="958" t="s">
        <v>388</v>
      </c>
      <c r="F76" s="959"/>
      <c r="G76" s="959"/>
      <c r="H76" s="959"/>
      <c r="I76" s="960"/>
      <c r="J76" s="79"/>
      <c r="K76" s="12"/>
    </row>
    <row r="77" spans="1:11" ht="20.100000000000001" customHeight="1">
      <c r="A77" s="79"/>
      <c r="B77" s="938" t="s">
        <v>421</v>
      </c>
      <c r="C77" s="939"/>
      <c r="D77" s="940"/>
      <c r="E77" s="958" t="s">
        <v>389</v>
      </c>
      <c r="F77" s="959"/>
      <c r="G77" s="959"/>
      <c r="H77" s="959"/>
      <c r="I77" s="960"/>
      <c r="J77" s="79"/>
      <c r="K77" s="4"/>
    </row>
    <row r="78" spans="1:11" ht="20.100000000000001" customHeight="1">
      <c r="A78" s="79"/>
      <c r="B78" s="938" t="s">
        <v>422</v>
      </c>
      <c r="C78" s="939"/>
      <c r="D78" s="940"/>
      <c r="E78" s="958" t="s">
        <v>319</v>
      </c>
      <c r="F78" s="959"/>
      <c r="G78" s="959"/>
      <c r="H78" s="959"/>
      <c r="I78" s="960"/>
      <c r="J78" s="79"/>
      <c r="K78" s="12"/>
    </row>
    <row r="79" spans="1:11" ht="20.100000000000001" customHeight="1">
      <c r="A79" s="79"/>
      <c r="B79" s="938" t="s">
        <v>423</v>
      </c>
      <c r="C79" s="939"/>
      <c r="D79" s="940"/>
      <c r="E79" s="958" t="s">
        <v>320</v>
      </c>
      <c r="F79" s="959"/>
      <c r="G79" s="959"/>
      <c r="H79" s="959"/>
      <c r="I79" s="960"/>
      <c r="J79" s="79"/>
      <c r="K79" s="12"/>
    </row>
    <row r="80" spans="1:11" ht="20.100000000000001" customHeight="1">
      <c r="A80" s="79"/>
      <c r="B80" s="938" t="s">
        <v>424</v>
      </c>
      <c r="C80" s="939"/>
      <c r="D80" s="940"/>
      <c r="E80" s="958" t="s">
        <v>321</v>
      </c>
      <c r="F80" s="959"/>
      <c r="G80" s="959"/>
      <c r="H80" s="959"/>
      <c r="I80" s="960"/>
      <c r="J80" s="79"/>
      <c r="K80" s="12"/>
    </row>
    <row r="81" spans="1:11" ht="20.100000000000001" customHeight="1">
      <c r="A81" s="79"/>
      <c r="B81" s="938" t="s">
        <v>425</v>
      </c>
      <c r="C81" s="939"/>
      <c r="D81" s="940"/>
      <c r="E81" s="958" t="s">
        <v>322</v>
      </c>
      <c r="F81" s="959"/>
      <c r="G81" s="959"/>
      <c r="H81" s="959"/>
      <c r="I81" s="960"/>
      <c r="J81" s="79"/>
      <c r="K81" s="12"/>
    </row>
    <row r="82" spans="1:11" ht="20.100000000000001" customHeight="1">
      <c r="A82" s="79"/>
      <c r="B82" s="1056" t="s">
        <v>522</v>
      </c>
      <c r="C82" s="1057"/>
      <c r="D82" s="1057"/>
      <c r="E82" s="1067" t="s">
        <v>554</v>
      </c>
      <c r="F82" s="1068"/>
      <c r="G82" s="1068"/>
      <c r="H82" s="1068"/>
      <c r="I82" s="1070"/>
      <c r="J82" s="79"/>
      <c r="K82" s="12"/>
    </row>
    <row r="83" spans="1:11" ht="20.100000000000001" customHeight="1" thickBot="1">
      <c r="A83" s="79"/>
      <c r="B83" s="1124"/>
      <c r="C83" s="1125"/>
      <c r="D83" s="1125"/>
      <c r="E83" s="1107"/>
      <c r="F83" s="1108"/>
      <c r="G83" s="1108"/>
      <c r="H83" s="1108"/>
      <c r="I83" s="1109"/>
      <c r="J83" s="79"/>
      <c r="K83" s="12"/>
    </row>
    <row r="84" spans="1:11" ht="20.100000000000001" customHeight="1">
      <c r="A84" s="79"/>
      <c r="B84" s="109" t="s">
        <v>602</v>
      </c>
      <c r="C84" s="92"/>
      <c r="D84" s="91"/>
      <c r="E84" s="79"/>
      <c r="F84" s="79"/>
      <c r="G84" s="93"/>
      <c r="H84" s="93"/>
      <c r="I84" s="93"/>
      <c r="J84" s="79"/>
      <c r="K84" s="12"/>
    </row>
    <row r="85" spans="1:11" ht="21.75" customHeight="1">
      <c r="A85" s="88" t="s">
        <v>334</v>
      </c>
      <c r="B85" s="79"/>
      <c r="C85" s="92"/>
      <c r="D85" s="91"/>
      <c r="E85" s="79"/>
      <c r="F85" s="79"/>
      <c r="G85" s="93"/>
      <c r="H85" s="93"/>
      <c r="I85" s="93"/>
      <c r="J85" s="79"/>
      <c r="K85" s="12"/>
    </row>
    <row r="86" spans="1:11" ht="20.100000000000001" customHeight="1">
      <c r="A86" s="109" t="s">
        <v>137</v>
      </c>
      <c r="B86" s="109" t="s">
        <v>144</v>
      </c>
      <c r="C86" s="251"/>
      <c r="D86" s="252"/>
      <c r="E86" s="109"/>
      <c r="F86" s="109"/>
      <c r="G86" s="253"/>
      <c r="H86" s="253"/>
      <c r="I86" s="253"/>
      <c r="J86" s="79"/>
      <c r="K86" s="12"/>
    </row>
    <row r="87" spans="1:11" ht="20.100000000000001" customHeight="1">
      <c r="A87" s="109" t="s">
        <v>447</v>
      </c>
      <c r="B87" s="109"/>
      <c r="C87" s="251"/>
      <c r="D87" s="252"/>
      <c r="E87" s="109"/>
      <c r="F87" s="109"/>
      <c r="G87" s="253"/>
      <c r="H87" s="253"/>
      <c r="I87" s="253"/>
      <c r="J87" s="79"/>
      <c r="K87" s="12"/>
    </row>
    <row r="88" spans="1:11" ht="20.100000000000001" customHeight="1">
      <c r="A88" s="109" t="s">
        <v>137</v>
      </c>
      <c r="B88" s="109" t="s">
        <v>173</v>
      </c>
      <c r="C88" s="251"/>
      <c r="D88" s="252"/>
      <c r="E88" s="109"/>
      <c r="F88" s="109"/>
      <c r="G88" s="253"/>
      <c r="H88" s="253"/>
      <c r="I88" s="253"/>
      <c r="J88" s="79"/>
      <c r="K88" s="12"/>
    </row>
    <row r="89" spans="1:11" ht="20.100000000000001" customHeight="1">
      <c r="A89" s="109"/>
      <c r="B89" s="385" t="s">
        <v>632</v>
      </c>
      <c r="C89" s="251"/>
      <c r="D89" s="252"/>
      <c r="E89" s="109"/>
      <c r="F89" s="109"/>
      <c r="G89" s="253"/>
      <c r="H89" s="253"/>
      <c r="I89" s="253"/>
      <c r="J89" s="79"/>
      <c r="K89" s="12"/>
    </row>
    <row r="90" spans="1:11" ht="20.100000000000001" customHeight="1">
      <c r="A90" s="109"/>
      <c r="B90" s="1001"/>
      <c r="C90" s="1001"/>
      <c r="D90" s="1001"/>
      <c r="E90" s="1001"/>
      <c r="F90" s="1001"/>
      <c r="G90" s="1001"/>
      <c r="H90" s="384"/>
      <c r="I90" s="384"/>
      <c r="J90" s="79"/>
      <c r="K90" s="12"/>
    </row>
    <row r="91" spans="1:11" ht="20.100000000000001" customHeight="1">
      <c r="A91" s="109"/>
      <c r="B91" s="1001"/>
      <c r="C91" s="1001"/>
      <c r="D91" s="1001"/>
      <c r="E91" s="1001"/>
      <c r="F91" s="1001"/>
      <c r="G91" s="1001"/>
      <c r="H91" s="384"/>
      <c r="I91" s="384"/>
      <c r="J91" s="79"/>
      <c r="K91" s="12"/>
    </row>
    <row r="92" spans="1:11" ht="20.100000000000001" customHeight="1">
      <c r="A92" s="79"/>
      <c r="B92" s="75"/>
      <c r="C92" s="92"/>
      <c r="D92" s="91"/>
      <c r="E92" s="79"/>
      <c r="F92" s="79"/>
      <c r="G92" s="93"/>
      <c r="H92" s="93"/>
      <c r="I92" s="93"/>
      <c r="J92" s="79"/>
      <c r="K92" s="12"/>
    </row>
    <row r="93" spans="1:11" ht="20.100000000000001" customHeight="1" thickBot="1">
      <c r="A93" s="79"/>
      <c r="B93" s="964" t="s">
        <v>171</v>
      </c>
      <c r="C93" s="964"/>
      <c r="D93" s="964"/>
      <c r="E93" s="964"/>
      <c r="F93" s="964"/>
      <c r="G93" s="964"/>
      <c r="H93" s="964"/>
      <c r="I93" s="964"/>
      <c r="J93" s="964"/>
    </row>
    <row r="94" spans="1:11" ht="63.6" customHeight="1" thickBot="1">
      <c r="A94" s="79"/>
      <c r="B94" s="1128"/>
      <c r="C94" s="1129"/>
      <c r="D94" s="1129"/>
      <c r="E94" s="95" t="s">
        <v>390</v>
      </c>
      <c r="F94" s="123" t="s">
        <v>27</v>
      </c>
      <c r="G94" s="1130" t="s">
        <v>461</v>
      </c>
      <c r="H94" s="1131"/>
      <c r="I94" s="1131"/>
      <c r="J94" s="1132"/>
    </row>
    <row r="95" spans="1:11" ht="18" customHeight="1">
      <c r="A95" s="79"/>
      <c r="B95" s="1103" t="s">
        <v>6</v>
      </c>
      <c r="C95" s="1104"/>
      <c r="D95" s="254" t="s">
        <v>7</v>
      </c>
      <c r="E95" s="255">
        <v>0</v>
      </c>
      <c r="F95" s="256">
        <v>0</v>
      </c>
      <c r="G95" s="1103" t="s">
        <v>41</v>
      </c>
      <c r="H95" s="1126"/>
      <c r="I95" s="1126"/>
      <c r="J95" s="1127"/>
    </row>
    <row r="96" spans="1:11" ht="60.75" customHeight="1">
      <c r="A96" s="79"/>
      <c r="B96" s="1105"/>
      <c r="C96" s="1106"/>
      <c r="D96" s="371" t="s">
        <v>603</v>
      </c>
      <c r="E96" s="257">
        <v>200</v>
      </c>
      <c r="F96" s="373" t="s">
        <v>469</v>
      </c>
      <c r="G96" s="978" t="s">
        <v>42</v>
      </c>
      <c r="H96" s="979"/>
      <c r="I96" s="979"/>
      <c r="J96" s="980"/>
    </row>
    <row r="97" spans="1:19" ht="66.599999999999994" customHeight="1">
      <c r="A97" s="79"/>
      <c r="B97" s="1105"/>
      <c r="C97" s="1106"/>
      <c r="D97" s="258" t="s">
        <v>604</v>
      </c>
      <c r="E97" s="386" t="s">
        <v>172</v>
      </c>
      <c r="F97" s="387" t="s">
        <v>174</v>
      </c>
      <c r="G97" s="975" t="s">
        <v>396</v>
      </c>
      <c r="H97" s="976"/>
      <c r="I97" s="976"/>
      <c r="J97" s="977"/>
    </row>
    <row r="98" spans="1:19" ht="38.25" customHeight="1">
      <c r="A98" s="79"/>
      <c r="B98" s="1052" t="s">
        <v>15</v>
      </c>
      <c r="C98" s="1053"/>
      <c r="D98" s="258" t="s">
        <v>9</v>
      </c>
      <c r="E98" s="259">
        <v>990</v>
      </c>
      <c r="F98" s="971" t="s">
        <v>469</v>
      </c>
      <c r="G98" s="975" t="s">
        <v>523</v>
      </c>
      <c r="H98" s="976"/>
      <c r="I98" s="976"/>
      <c r="J98" s="977"/>
    </row>
    <row r="99" spans="1:19" ht="20.100000000000001" customHeight="1">
      <c r="A99" s="79"/>
      <c r="B99" s="1052"/>
      <c r="C99" s="1053"/>
      <c r="D99" s="260" t="s">
        <v>10</v>
      </c>
      <c r="E99" s="261">
        <v>740</v>
      </c>
      <c r="F99" s="1110"/>
      <c r="G99" s="975" t="s">
        <v>524</v>
      </c>
      <c r="H99" s="976"/>
      <c r="I99" s="976"/>
      <c r="J99" s="977"/>
    </row>
    <row r="100" spans="1:19" ht="39" customHeight="1">
      <c r="A100" s="79"/>
      <c r="B100" s="1052"/>
      <c r="C100" s="1053"/>
      <c r="D100" s="260" t="s">
        <v>11</v>
      </c>
      <c r="E100" s="261">
        <v>500</v>
      </c>
      <c r="F100" s="972"/>
      <c r="G100" s="975" t="s">
        <v>525</v>
      </c>
      <c r="H100" s="976"/>
      <c r="I100" s="976"/>
      <c r="J100" s="977"/>
    </row>
    <row r="101" spans="1:19" ht="34.5" customHeight="1">
      <c r="A101" s="79"/>
      <c r="B101" s="965" t="s">
        <v>16</v>
      </c>
      <c r="C101" s="966"/>
      <c r="D101" s="258" t="s">
        <v>605</v>
      </c>
      <c r="E101" s="257">
        <v>100</v>
      </c>
      <c r="F101" s="262">
        <v>100</v>
      </c>
      <c r="G101" s="978" t="s">
        <v>407</v>
      </c>
      <c r="H101" s="979"/>
      <c r="I101" s="979"/>
      <c r="J101" s="980"/>
    </row>
    <row r="102" spans="1:19" ht="42" customHeight="1">
      <c r="A102" s="79"/>
      <c r="B102" s="967"/>
      <c r="C102" s="968"/>
      <c r="D102" s="258" t="s">
        <v>606</v>
      </c>
      <c r="E102" s="971" t="s">
        <v>175</v>
      </c>
      <c r="F102" s="973" t="s">
        <v>608</v>
      </c>
      <c r="G102" s="1056" t="s">
        <v>607</v>
      </c>
      <c r="H102" s="1057"/>
      <c r="I102" s="1057"/>
      <c r="J102" s="1058"/>
    </row>
    <row r="103" spans="1:19" ht="26.25" customHeight="1">
      <c r="A103" s="79"/>
      <c r="B103" s="969"/>
      <c r="C103" s="970"/>
      <c r="D103" s="263" t="s">
        <v>470</v>
      </c>
      <c r="E103" s="972"/>
      <c r="F103" s="974"/>
      <c r="G103" s="1059"/>
      <c r="H103" s="1060"/>
      <c r="I103" s="1060"/>
      <c r="J103" s="1061"/>
    </row>
    <row r="104" spans="1:19" ht="23.25" customHeight="1">
      <c r="A104" s="79"/>
      <c r="B104" s="943" t="s">
        <v>20</v>
      </c>
      <c r="C104" s="944"/>
      <c r="D104" s="945"/>
      <c r="E104" s="261">
        <v>610</v>
      </c>
      <c r="F104" s="264">
        <v>610</v>
      </c>
      <c r="G104" s="975" t="s">
        <v>526</v>
      </c>
      <c r="H104" s="976"/>
      <c r="I104" s="976"/>
      <c r="J104" s="977"/>
    </row>
    <row r="105" spans="1:19" ht="63" customHeight="1">
      <c r="A105" s="79"/>
      <c r="B105" s="963" t="s">
        <v>633</v>
      </c>
      <c r="C105" s="474"/>
      <c r="D105" s="475"/>
      <c r="E105" s="383" t="s">
        <v>492</v>
      </c>
      <c r="F105" s="383" t="s">
        <v>491</v>
      </c>
      <c r="G105" s="1016" t="s">
        <v>646</v>
      </c>
      <c r="H105" s="1017"/>
      <c r="I105" s="1017"/>
      <c r="J105" s="1018"/>
    </row>
    <row r="106" spans="1:19" ht="364.5" customHeight="1">
      <c r="A106" s="79"/>
      <c r="B106" s="473" t="s">
        <v>618</v>
      </c>
      <c r="C106" s="474"/>
      <c r="D106" s="475"/>
      <c r="E106" s="382"/>
      <c r="F106" s="381"/>
      <c r="G106" s="608" t="s">
        <v>637</v>
      </c>
      <c r="H106" s="609"/>
      <c r="I106" s="609"/>
      <c r="J106" s="1114"/>
      <c r="L106" s="388"/>
      <c r="M106" s="388"/>
      <c r="N106" s="388"/>
      <c r="O106" s="388"/>
      <c r="P106" s="388"/>
      <c r="Q106" s="388"/>
      <c r="R106" s="388"/>
      <c r="S106" s="388"/>
    </row>
    <row r="107" spans="1:19" ht="20.100000000000001" customHeight="1">
      <c r="A107" s="79"/>
      <c r="B107" s="1052" t="s">
        <v>21</v>
      </c>
      <c r="C107" s="1053"/>
      <c r="D107" s="260" t="s">
        <v>471</v>
      </c>
      <c r="E107" s="261">
        <v>600</v>
      </c>
      <c r="F107" s="264">
        <v>600</v>
      </c>
      <c r="G107" s="955" t="s">
        <v>634</v>
      </c>
      <c r="H107" s="956"/>
      <c r="I107" s="956"/>
      <c r="J107" s="957"/>
    </row>
    <row r="108" spans="1:19" ht="20.100000000000001" customHeight="1" thickBot="1">
      <c r="A108" s="79"/>
      <c r="B108" s="1054"/>
      <c r="C108" s="1055"/>
      <c r="D108" s="265" t="s">
        <v>472</v>
      </c>
      <c r="E108" s="266">
        <v>800</v>
      </c>
      <c r="F108" s="267">
        <v>800</v>
      </c>
      <c r="G108" s="1038" t="s">
        <v>635</v>
      </c>
      <c r="H108" s="1039"/>
      <c r="I108" s="1039"/>
      <c r="J108" s="1040"/>
    </row>
    <row r="109" spans="1:19" ht="20.100000000000001" customHeight="1">
      <c r="A109" s="79"/>
      <c r="B109" s="75" t="s">
        <v>43</v>
      </c>
      <c r="C109" s="75"/>
      <c r="D109" s="76"/>
      <c r="E109" s="77"/>
      <c r="F109" s="77"/>
      <c r="G109" s="78"/>
      <c r="H109" s="78"/>
      <c r="I109" s="78"/>
      <c r="J109" s="79"/>
      <c r="K109" s="12"/>
    </row>
    <row r="110" spans="1:19" ht="20.100000000000001" customHeight="1">
      <c r="A110" s="79"/>
      <c r="B110" s="75" t="s">
        <v>408</v>
      </c>
      <c r="C110" s="75"/>
      <c r="D110" s="79"/>
      <c r="E110" s="77"/>
      <c r="F110" s="77"/>
      <c r="G110" s="80"/>
      <c r="H110" s="80"/>
      <c r="I110" s="80"/>
      <c r="J110" s="79"/>
    </row>
    <row r="111" spans="1:19" ht="20.100000000000001" customHeight="1">
      <c r="A111" s="79"/>
      <c r="B111" s="75"/>
      <c r="C111" s="75"/>
      <c r="D111" s="79"/>
      <c r="E111" s="77"/>
      <c r="F111" s="77"/>
      <c r="G111" s="80"/>
      <c r="H111" s="80"/>
      <c r="I111" s="80"/>
      <c r="J111" s="79"/>
    </row>
    <row r="112" spans="1:19" ht="20.100000000000001" customHeight="1">
      <c r="A112" s="79" t="s">
        <v>448</v>
      </c>
      <c r="B112" s="79"/>
      <c r="C112" s="92"/>
      <c r="D112" s="91"/>
      <c r="E112" s="79"/>
      <c r="F112" s="79"/>
      <c r="G112" s="93"/>
      <c r="H112" s="93"/>
      <c r="I112" s="93"/>
      <c r="J112" s="79"/>
      <c r="K112" s="12"/>
    </row>
    <row r="113" spans="1:11" ht="20.100000000000001" customHeight="1">
      <c r="A113" s="79" t="s">
        <v>137</v>
      </c>
      <c r="B113" s="79" t="s">
        <v>182</v>
      </c>
      <c r="C113" s="92"/>
      <c r="D113" s="91"/>
      <c r="E113" s="79"/>
      <c r="F113" s="79"/>
      <c r="G113" s="93"/>
      <c r="H113" s="93"/>
      <c r="I113" s="93"/>
      <c r="J113" s="79"/>
      <c r="K113" s="12"/>
    </row>
    <row r="114" spans="1:11" ht="20.100000000000001" customHeight="1">
      <c r="A114" s="79"/>
      <c r="B114" s="1005" t="s">
        <v>426</v>
      </c>
      <c r="C114" s="1005"/>
      <c r="D114" s="1005"/>
      <c r="E114" s="1005"/>
      <c r="F114" s="1005"/>
      <c r="G114" s="1005"/>
      <c r="H114" s="1005"/>
      <c r="I114" s="1005"/>
      <c r="J114" s="1005"/>
      <c r="K114" s="12"/>
    </row>
    <row r="115" spans="1:11" ht="20.100000000000001" customHeight="1">
      <c r="A115" s="79"/>
      <c r="B115" s="75" t="s">
        <v>451</v>
      </c>
      <c r="C115" s="92"/>
      <c r="D115" s="91"/>
      <c r="E115" s="79"/>
      <c r="F115" s="79"/>
      <c r="G115" s="93"/>
      <c r="H115" s="93"/>
      <c r="I115" s="93"/>
      <c r="J115" s="79"/>
      <c r="K115" s="12"/>
    </row>
    <row r="116" spans="1:11" ht="18" customHeight="1">
      <c r="A116" s="79"/>
      <c r="B116" s="75"/>
      <c r="C116" s="97"/>
      <c r="D116" s="91"/>
      <c r="E116" s="79"/>
      <c r="F116" s="79"/>
      <c r="G116" s="93"/>
      <c r="H116" s="93"/>
      <c r="I116" s="93"/>
      <c r="J116" s="79"/>
      <c r="K116" s="12"/>
    </row>
    <row r="117" spans="1:11" ht="20.100000000000001" customHeight="1" thickBot="1">
      <c r="A117" s="79"/>
      <c r="B117" s="964" t="s">
        <v>176</v>
      </c>
      <c r="C117" s="964"/>
      <c r="D117" s="964"/>
      <c r="E117" s="964"/>
      <c r="F117" s="964"/>
      <c r="G117" s="964"/>
      <c r="H117" s="964"/>
      <c r="I117" s="964"/>
      <c r="J117" s="79"/>
    </row>
    <row r="118" spans="1:11" ht="20.100000000000001" customHeight="1" thickBot="1">
      <c r="A118" s="79"/>
      <c r="B118" s="941" t="s">
        <v>135</v>
      </c>
      <c r="C118" s="942"/>
      <c r="D118" s="995" t="s">
        <v>143</v>
      </c>
      <c r="E118" s="996"/>
      <c r="F118" s="996"/>
      <c r="G118" s="996"/>
      <c r="H118" s="996"/>
      <c r="I118" s="997"/>
      <c r="J118" s="79"/>
      <c r="K118" s="2"/>
    </row>
    <row r="119" spans="1:11" ht="20.100000000000001" customHeight="1">
      <c r="A119" s="79"/>
      <c r="B119" s="1008" t="s">
        <v>177</v>
      </c>
      <c r="C119" s="1009"/>
      <c r="D119" s="1041" t="s">
        <v>428</v>
      </c>
      <c r="E119" s="1042"/>
      <c r="F119" s="1042"/>
      <c r="G119" s="1042"/>
      <c r="H119" s="1042"/>
      <c r="I119" s="1043"/>
      <c r="J119" s="79"/>
      <c r="K119" s="2"/>
    </row>
    <row r="120" spans="1:11" ht="20.100000000000001" customHeight="1">
      <c r="A120" s="79"/>
      <c r="B120" s="1010" t="s">
        <v>178</v>
      </c>
      <c r="C120" s="1011"/>
      <c r="D120" s="951" t="s">
        <v>429</v>
      </c>
      <c r="E120" s="952"/>
      <c r="F120" s="952"/>
      <c r="G120" s="952"/>
      <c r="H120" s="952"/>
      <c r="I120" s="953"/>
      <c r="J120" s="79"/>
      <c r="K120" s="2"/>
    </row>
    <row r="121" spans="1:11" ht="20.100000000000001" customHeight="1">
      <c r="A121" s="79"/>
      <c r="B121" s="1012" t="s">
        <v>427</v>
      </c>
      <c r="C121" s="1013"/>
      <c r="D121" s="951" t="s">
        <v>179</v>
      </c>
      <c r="E121" s="952"/>
      <c r="F121" s="952"/>
      <c r="G121" s="952"/>
      <c r="H121" s="952"/>
      <c r="I121" s="953"/>
      <c r="J121" s="79"/>
      <c r="K121" s="2"/>
    </row>
    <row r="122" spans="1:11" ht="20.100000000000001" customHeight="1" thickBot="1">
      <c r="A122" s="79"/>
      <c r="B122" s="1006" t="s">
        <v>180</v>
      </c>
      <c r="C122" s="1007"/>
      <c r="D122" s="981" t="s">
        <v>409</v>
      </c>
      <c r="E122" s="982"/>
      <c r="F122" s="982"/>
      <c r="G122" s="982"/>
      <c r="H122" s="982"/>
      <c r="I122" s="983"/>
      <c r="J122" s="79"/>
      <c r="K122" s="12"/>
    </row>
    <row r="123" spans="1:11" ht="20.100000000000001" customHeight="1">
      <c r="A123" s="79"/>
      <c r="B123" s="79"/>
      <c r="C123" s="92"/>
      <c r="D123" s="91"/>
      <c r="E123" s="79"/>
      <c r="F123" s="79"/>
      <c r="G123" s="93"/>
      <c r="H123" s="93"/>
      <c r="I123" s="93"/>
      <c r="J123" s="79"/>
      <c r="K123" s="12"/>
    </row>
    <row r="124" spans="1:11" ht="41.25" customHeight="1">
      <c r="A124" s="79"/>
      <c r="B124" s="935" t="s">
        <v>181</v>
      </c>
      <c r="C124" s="935"/>
      <c r="D124" s="935"/>
      <c r="E124" s="935"/>
      <c r="F124" s="935"/>
      <c r="G124" s="935"/>
      <c r="H124" s="935"/>
      <c r="I124" s="935"/>
      <c r="J124" s="79"/>
      <c r="K124" s="12"/>
    </row>
    <row r="125" spans="1:11" ht="19.5" thickBot="1">
      <c r="A125" s="79"/>
      <c r="B125" s="964" t="s">
        <v>596</v>
      </c>
      <c r="C125" s="964"/>
      <c r="D125" s="964"/>
      <c r="E125" s="964"/>
      <c r="F125" s="964"/>
      <c r="G125" s="964"/>
      <c r="H125" s="964"/>
      <c r="I125" s="964"/>
      <c r="J125" s="79"/>
    </row>
    <row r="126" spans="1:11" ht="67.5" customHeight="1" thickBot="1">
      <c r="A126" s="79"/>
      <c r="B126" s="1050"/>
      <c r="C126" s="942"/>
      <c r="D126" s="1051"/>
      <c r="E126" s="98" t="s">
        <v>390</v>
      </c>
      <c r="F126" s="98" t="s">
        <v>619</v>
      </c>
      <c r="G126" s="1047" t="s">
        <v>461</v>
      </c>
      <c r="H126" s="1048"/>
      <c r="I126" s="1049"/>
      <c r="J126" s="79"/>
    </row>
    <row r="127" spans="1:11" ht="20.100000000000001" customHeight="1">
      <c r="A127" s="79"/>
      <c r="B127" s="1014" t="s">
        <v>8</v>
      </c>
      <c r="C127" s="1015"/>
      <c r="D127" s="99" t="s">
        <v>24</v>
      </c>
      <c r="E127" s="100">
        <v>1000</v>
      </c>
      <c r="F127" s="249">
        <f t="shared" ref="F127:F132" si="0">ROUNDUP(E127*(2*6*2.8+2*16.5*2.8)*(1-0.09)/(6*16.5),-1)</f>
        <v>1160</v>
      </c>
      <c r="G127" s="1044" t="s">
        <v>323</v>
      </c>
      <c r="H127" s="1045"/>
      <c r="I127" s="1046"/>
      <c r="J127" s="79"/>
    </row>
    <row r="128" spans="1:11" ht="20.100000000000001" customHeight="1">
      <c r="A128" s="79"/>
      <c r="B128" s="1014"/>
      <c r="C128" s="1015"/>
      <c r="D128" s="101" t="s">
        <v>25</v>
      </c>
      <c r="E128" s="102">
        <v>890</v>
      </c>
      <c r="F128" s="105">
        <f t="shared" si="0"/>
        <v>1040</v>
      </c>
      <c r="G128" s="958" t="s">
        <v>324</v>
      </c>
      <c r="H128" s="959"/>
      <c r="I128" s="960"/>
      <c r="J128" s="79"/>
    </row>
    <row r="129" spans="1:11" ht="20.100000000000001" customHeight="1">
      <c r="A129" s="79"/>
      <c r="B129" s="1014"/>
      <c r="C129" s="1015"/>
      <c r="D129" s="101" t="s">
        <v>12</v>
      </c>
      <c r="E129" s="102">
        <v>600</v>
      </c>
      <c r="F129" s="105">
        <f t="shared" si="0"/>
        <v>700</v>
      </c>
      <c r="G129" s="958" t="s">
        <v>325</v>
      </c>
      <c r="H129" s="959"/>
      <c r="I129" s="960"/>
      <c r="J129" s="79"/>
    </row>
    <row r="130" spans="1:11" ht="20.100000000000001" customHeight="1">
      <c r="A130" s="79"/>
      <c r="B130" s="1014"/>
      <c r="C130" s="1015"/>
      <c r="D130" s="101" t="s">
        <v>13</v>
      </c>
      <c r="E130" s="102">
        <v>500</v>
      </c>
      <c r="F130" s="105">
        <f t="shared" si="0"/>
        <v>580</v>
      </c>
      <c r="G130" s="958" t="s">
        <v>326</v>
      </c>
      <c r="H130" s="959"/>
      <c r="I130" s="960"/>
      <c r="J130" s="79"/>
    </row>
    <row r="131" spans="1:11" ht="33.6" customHeight="1">
      <c r="A131" s="79"/>
      <c r="B131" s="1014"/>
      <c r="C131" s="1015"/>
      <c r="D131" s="101" t="s">
        <v>290</v>
      </c>
      <c r="E131" s="102">
        <v>350</v>
      </c>
      <c r="F131" s="105">
        <f t="shared" si="0"/>
        <v>410</v>
      </c>
      <c r="G131" s="958" t="s">
        <v>291</v>
      </c>
      <c r="H131" s="959"/>
      <c r="I131" s="960"/>
      <c r="J131" s="79"/>
    </row>
    <row r="132" spans="1:11" ht="35.1" customHeight="1">
      <c r="A132" s="79"/>
      <c r="B132" s="1014"/>
      <c r="C132" s="1015"/>
      <c r="D132" s="1118" t="s">
        <v>17</v>
      </c>
      <c r="E132" s="103">
        <v>70</v>
      </c>
      <c r="F132" s="246">
        <f t="shared" si="0"/>
        <v>90</v>
      </c>
      <c r="G132" s="958" t="s">
        <v>410</v>
      </c>
      <c r="H132" s="959"/>
      <c r="I132" s="960"/>
      <c r="J132" s="79"/>
    </row>
    <row r="133" spans="1:11" ht="47.1" customHeight="1">
      <c r="A133" s="79"/>
      <c r="B133" s="1014"/>
      <c r="C133" s="1015"/>
      <c r="D133" s="1119"/>
      <c r="E133" s="104" t="s">
        <v>175</v>
      </c>
      <c r="F133" s="247" t="s">
        <v>281</v>
      </c>
      <c r="G133" s="958" t="s">
        <v>168</v>
      </c>
      <c r="H133" s="959"/>
      <c r="I133" s="960"/>
      <c r="J133" s="79"/>
    </row>
    <row r="134" spans="1:11" ht="35.1" customHeight="1">
      <c r="A134" s="79"/>
      <c r="B134" s="1003" t="s">
        <v>18</v>
      </c>
      <c r="C134" s="1004"/>
      <c r="D134" s="96" t="s">
        <v>19</v>
      </c>
      <c r="E134" s="246">
        <v>400</v>
      </c>
      <c r="F134" s="246">
        <v>50</v>
      </c>
      <c r="G134" s="958" t="s">
        <v>411</v>
      </c>
      <c r="H134" s="959"/>
      <c r="I134" s="960"/>
      <c r="J134" s="79"/>
    </row>
    <row r="135" spans="1:11" ht="36.75" customHeight="1" thickBot="1">
      <c r="A135" s="79"/>
      <c r="B135" s="961" t="s">
        <v>14</v>
      </c>
      <c r="C135" s="962"/>
      <c r="D135" s="106" t="s">
        <v>28</v>
      </c>
      <c r="E135" s="107" t="s">
        <v>172</v>
      </c>
      <c r="F135" s="248">
        <v>200</v>
      </c>
      <c r="G135" s="998" t="s">
        <v>184</v>
      </c>
      <c r="H135" s="999"/>
      <c r="I135" s="1000"/>
      <c r="J135" s="79"/>
    </row>
    <row r="136" spans="1:11" ht="20.100000000000001" customHeight="1">
      <c r="A136" s="79"/>
      <c r="B136" s="75" t="s">
        <v>43</v>
      </c>
      <c r="C136" s="75"/>
      <c r="D136" s="76"/>
      <c r="E136" s="77"/>
      <c r="F136" s="77"/>
      <c r="G136" s="78"/>
      <c r="H136" s="78"/>
      <c r="I136" s="78"/>
      <c r="J136" s="79"/>
      <c r="K136" s="12"/>
    </row>
    <row r="137" spans="1:11" ht="20.100000000000001" customHeight="1">
      <c r="A137" s="79"/>
      <c r="B137" s="75" t="s">
        <v>408</v>
      </c>
      <c r="C137" s="75"/>
      <c r="D137" s="79"/>
      <c r="E137" s="77"/>
      <c r="F137" s="77"/>
      <c r="G137" s="80"/>
      <c r="H137" s="80"/>
      <c r="I137" s="80"/>
      <c r="J137" s="79"/>
    </row>
    <row r="138" spans="1:11" ht="20.100000000000001" customHeight="1">
      <c r="A138" s="79"/>
      <c r="B138" s="92"/>
      <c r="C138" s="92"/>
      <c r="D138" s="79"/>
      <c r="E138" s="79"/>
      <c r="F138" s="79"/>
      <c r="G138" s="108"/>
      <c r="H138" s="108"/>
      <c r="I138" s="108"/>
      <c r="J138" s="79"/>
    </row>
    <row r="139" spans="1:11" ht="20.100000000000001" customHeight="1">
      <c r="A139" s="88" t="s">
        <v>183</v>
      </c>
      <c r="B139" s="79"/>
      <c r="C139" s="79"/>
      <c r="D139" s="79"/>
      <c r="E139" s="79"/>
      <c r="F139" s="79"/>
      <c r="G139" s="76"/>
      <c r="H139" s="76"/>
      <c r="I139" s="76"/>
      <c r="J139" s="79"/>
    </row>
    <row r="140" spans="1:11" ht="20.100000000000001" customHeight="1">
      <c r="A140" s="88" t="s">
        <v>302</v>
      </c>
      <c r="B140" s="79"/>
      <c r="C140" s="79"/>
      <c r="D140" s="79"/>
      <c r="E140" s="79"/>
      <c r="F140" s="79"/>
      <c r="G140" s="76"/>
      <c r="H140" s="76"/>
      <c r="I140" s="76"/>
      <c r="J140" s="79"/>
    </row>
    <row r="141" spans="1:11" ht="20.100000000000001" customHeight="1">
      <c r="A141" s="79" t="s">
        <v>383</v>
      </c>
      <c r="B141" s="88"/>
      <c r="C141" s="79"/>
      <c r="D141" s="79"/>
      <c r="E141" s="79"/>
      <c r="F141" s="79"/>
      <c r="G141" s="79"/>
      <c r="H141" s="79"/>
      <c r="I141" s="79"/>
      <c r="J141" s="76"/>
    </row>
    <row r="142" spans="1:11" ht="20.100000000000001" customHeight="1">
      <c r="A142" s="88"/>
      <c r="B142" s="935" t="s">
        <v>376</v>
      </c>
      <c r="C142" s="935"/>
      <c r="D142" s="935"/>
      <c r="E142" s="935"/>
      <c r="F142" s="935"/>
      <c r="G142" s="935"/>
      <c r="H142" s="935"/>
      <c r="I142" s="935"/>
      <c r="J142" s="79"/>
    </row>
    <row r="143" spans="1:11" ht="20.100000000000001" customHeight="1">
      <c r="A143" s="88"/>
      <c r="B143" s="935" t="s">
        <v>375</v>
      </c>
      <c r="C143" s="935"/>
      <c r="D143" s="935"/>
      <c r="E143" s="935"/>
      <c r="F143" s="935"/>
      <c r="G143" s="935"/>
      <c r="H143" s="935"/>
      <c r="I143" s="935"/>
      <c r="J143" s="79"/>
    </row>
    <row r="144" spans="1:11" ht="20.100000000000001" customHeight="1">
      <c r="A144" s="88"/>
      <c r="B144" s="935" t="s">
        <v>412</v>
      </c>
      <c r="C144" s="935"/>
      <c r="D144" s="935"/>
      <c r="E144" s="935"/>
      <c r="F144" s="935"/>
      <c r="G144" s="935"/>
      <c r="H144" s="935"/>
      <c r="I144" s="935"/>
      <c r="J144" s="79"/>
    </row>
    <row r="145" spans="1:11" ht="20.100000000000001" customHeight="1">
      <c r="A145" s="250"/>
      <c r="B145" s="935" t="s">
        <v>378</v>
      </c>
      <c r="C145" s="935"/>
      <c r="D145" s="935"/>
      <c r="E145" s="935"/>
      <c r="F145" s="935"/>
      <c r="G145" s="935"/>
      <c r="H145" s="935"/>
      <c r="I145" s="935"/>
      <c r="J145" s="79"/>
    </row>
    <row r="146" spans="1:11" ht="20.100000000000001" customHeight="1">
      <c r="A146" s="250"/>
      <c r="B146" s="1001" t="s">
        <v>647</v>
      </c>
      <c r="C146" s="1001"/>
      <c r="D146" s="1001"/>
      <c r="E146" s="1001"/>
      <c r="F146" s="1001"/>
      <c r="G146" s="1001"/>
      <c r="H146" s="1001"/>
      <c r="I146" s="1001"/>
      <c r="J146" s="79"/>
    </row>
    <row r="147" spans="1:11" ht="20.100000000000001" customHeight="1">
      <c r="A147" s="88"/>
      <c r="B147" s="84"/>
      <c r="C147" s="84"/>
      <c r="D147" s="84"/>
      <c r="E147" s="84"/>
      <c r="F147" s="84"/>
      <c r="G147" s="84"/>
      <c r="H147" s="84"/>
      <c r="I147" s="84"/>
      <c r="J147" s="79"/>
    </row>
    <row r="148" spans="1:11" ht="20.100000000000001" customHeight="1">
      <c r="A148" s="109" t="s">
        <v>303</v>
      </c>
      <c r="B148" s="79"/>
      <c r="C148" s="92"/>
      <c r="D148" s="91"/>
      <c r="E148" s="79"/>
      <c r="F148" s="79"/>
      <c r="G148" s="93"/>
      <c r="H148" s="93"/>
      <c r="I148" s="93"/>
      <c r="J148" s="79"/>
      <c r="K148" s="12"/>
    </row>
    <row r="149" spans="1:11" ht="20.100000000000001" customHeight="1">
      <c r="A149" s="88"/>
      <c r="B149" s="79"/>
      <c r="C149" s="79"/>
      <c r="D149" s="79"/>
      <c r="E149" s="79"/>
      <c r="F149" s="79"/>
      <c r="G149" s="76"/>
      <c r="H149" s="76"/>
      <c r="I149" s="76"/>
      <c r="J149" s="79"/>
    </row>
    <row r="150" spans="1:11" ht="20.100000000000001" customHeight="1" thickBot="1">
      <c r="A150" s="79"/>
      <c r="B150" s="964" t="s">
        <v>304</v>
      </c>
      <c r="C150" s="964"/>
      <c r="D150" s="964"/>
      <c r="E150" s="964"/>
      <c r="F150" s="964"/>
      <c r="G150" s="964"/>
      <c r="H150" s="964"/>
      <c r="I150" s="964"/>
      <c r="J150" s="79"/>
    </row>
    <row r="151" spans="1:11" ht="20.100000000000001" customHeight="1" thickBot="1">
      <c r="A151" s="79"/>
      <c r="B151" s="941" t="s">
        <v>135</v>
      </c>
      <c r="C151" s="942"/>
      <c r="D151" s="995" t="s">
        <v>143</v>
      </c>
      <c r="E151" s="996"/>
      <c r="F151" s="996"/>
      <c r="G151" s="996"/>
      <c r="H151" s="996"/>
      <c r="I151" s="997"/>
      <c r="J151" s="79"/>
      <c r="K151" s="2"/>
    </row>
    <row r="152" spans="1:11" ht="20.100000000000001" customHeight="1">
      <c r="A152" s="79"/>
      <c r="B152" s="1019" t="s">
        <v>327</v>
      </c>
      <c r="C152" s="1020"/>
      <c r="D152" s="992" t="s">
        <v>186</v>
      </c>
      <c r="E152" s="993"/>
      <c r="F152" s="993"/>
      <c r="G152" s="993"/>
      <c r="H152" s="993"/>
      <c r="I152" s="994"/>
      <c r="J152" s="79"/>
      <c r="K152" s="2"/>
    </row>
    <row r="153" spans="1:11" ht="20.100000000000001" customHeight="1">
      <c r="A153" s="79"/>
      <c r="B153" s="946" t="s">
        <v>328</v>
      </c>
      <c r="C153" s="947"/>
      <c r="D153" s="989" t="s">
        <v>305</v>
      </c>
      <c r="E153" s="990"/>
      <c r="F153" s="990"/>
      <c r="G153" s="990"/>
      <c r="H153" s="990"/>
      <c r="I153" s="991"/>
      <c r="J153" s="79"/>
      <c r="K153" s="2"/>
    </row>
    <row r="154" spans="1:11" ht="20.100000000000001" customHeight="1" thickBot="1">
      <c r="A154" s="79"/>
      <c r="B154" s="949" t="s">
        <v>329</v>
      </c>
      <c r="C154" s="950"/>
      <c r="D154" s="1027" t="s">
        <v>306</v>
      </c>
      <c r="E154" s="1028"/>
      <c r="F154" s="1028"/>
      <c r="G154" s="1028"/>
      <c r="H154" s="1028"/>
      <c r="I154" s="1029"/>
      <c r="J154" s="79"/>
      <c r="K154" s="2"/>
    </row>
    <row r="155" spans="1:11" ht="20.100000000000001" customHeight="1">
      <c r="A155" s="110"/>
      <c r="B155" s="111"/>
      <c r="C155" s="111"/>
      <c r="D155" s="111"/>
      <c r="E155" s="111"/>
      <c r="F155" s="111"/>
      <c r="G155" s="112"/>
      <c r="H155" s="112"/>
      <c r="I155" s="112"/>
      <c r="J155" s="79"/>
    </row>
    <row r="156" spans="1:11" ht="20.100000000000001" customHeight="1">
      <c r="A156" s="109" t="s">
        <v>450</v>
      </c>
      <c r="B156" s="79"/>
      <c r="C156" s="92"/>
      <c r="D156" s="91"/>
      <c r="E156" s="79"/>
      <c r="F156" s="79"/>
      <c r="G156" s="93"/>
      <c r="H156" s="93"/>
      <c r="I156" s="93"/>
      <c r="J156" s="79"/>
      <c r="K156" s="12"/>
    </row>
    <row r="157" spans="1:11" s="374" customFormat="1">
      <c r="A157" s="116"/>
      <c r="B157" s="79" t="s">
        <v>474</v>
      </c>
      <c r="C157" s="111"/>
      <c r="D157" s="111"/>
      <c r="E157" s="111"/>
      <c r="F157" s="111"/>
      <c r="G157" s="112"/>
      <c r="H157" s="111"/>
      <c r="I157" s="111"/>
      <c r="J157" s="111"/>
    </row>
    <row r="158" spans="1:11" ht="20.100000000000001" customHeight="1">
      <c r="A158" s="113"/>
      <c r="B158" s="79"/>
      <c r="C158" s="79"/>
      <c r="D158" s="79"/>
      <c r="E158" s="79"/>
      <c r="F158" s="79"/>
      <c r="G158" s="76"/>
      <c r="H158" s="76"/>
      <c r="I158" s="76"/>
      <c r="J158" s="79"/>
    </row>
    <row r="159" spans="1:11" ht="20.100000000000001" customHeight="1">
      <c r="A159" s="88"/>
      <c r="B159" s="79"/>
      <c r="C159" s="79"/>
      <c r="D159" s="79"/>
      <c r="E159" s="79"/>
      <c r="F159" s="79"/>
      <c r="G159" s="76"/>
      <c r="H159" s="76"/>
      <c r="I159" s="76"/>
      <c r="J159" s="79"/>
    </row>
    <row r="160" spans="1:11" ht="20.100000000000001" customHeight="1">
      <c r="A160" s="88"/>
      <c r="B160" s="79"/>
      <c r="C160" s="79"/>
      <c r="D160" s="79"/>
      <c r="E160" s="79"/>
      <c r="F160" s="79"/>
      <c r="G160" s="76"/>
      <c r="H160" s="76"/>
      <c r="I160" s="76"/>
      <c r="J160" s="79"/>
    </row>
    <row r="161" spans="1:11" ht="20.100000000000001" customHeight="1">
      <c r="A161" s="88"/>
      <c r="B161" s="79"/>
      <c r="C161" s="79"/>
      <c r="D161" s="79"/>
      <c r="E161" s="79"/>
      <c r="F161" s="79"/>
      <c r="G161" s="76"/>
      <c r="H161" s="76"/>
      <c r="I161" s="76"/>
      <c r="J161" s="79"/>
    </row>
    <row r="162" spans="1:11" ht="20.100000000000001" customHeight="1">
      <c r="A162" s="88"/>
      <c r="B162" s="79"/>
      <c r="C162" s="79"/>
      <c r="D162" s="79"/>
      <c r="E162" s="79"/>
      <c r="F162" s="79"/>
      <c r="G162" s="76"/>
      <c r="H162" s="76"/>
      <c r="I162" s="76"/>
      <c r="J162" s="79"/>
    </row>
    <row r="163" spans="1:11" ht="20.100000000000001" customHeight="1">
      <c r="A163" s="88"/>
      <c r="B163" s="79"/>
      <c r="C163" s="79"/>
      <c r="D163" s="79"/>
      <c r="E163" s="79"/>
      <c r="F163" s="79"/>
      <c r="G163" s="76"/>
      <c r="H163" s="76"/>
      <c r="I163" s="76"/>
      <c r="J163" s="79"/>
    </row>
    <row r="164" spans="1:11" ht="20.100000000000001" customHeight="1">
      <c r="A164" s="88"/>
      <c r="B164" s="79"/>
      <c r="C164" s="79"/>
      <c r="D164" s="79"/>
      <c r="E164" s="79"/>
      <c r="F164" s="79"/>
      <c r="G164" s="76"/>
      <c r="H164" s="76"/>
      <c r="I164" s="76"/>
      <c r="J164" s="79"/>
    </row>
    <row r="165" spans="1:11" ht="20.100000000000001" customHeight="1">
      <c r="A165" s="88"/>
      <c r="B165" s="79"/>
      <c r="C165" s="79"/>
      <c r="D165" s="79"/>
      <c r="E165" s="79"/>
      <c r="F165" s="79"/>
      <c r="G165" s="76"/>
      <c r="H165" s="76"/>
      <c r="I165" s="76"/>
      <c r="J165" s="79"/>
    </row>
    <row r="166" spans="1:11" ht="20.100000000000001" customHeight="1">
      <c r="A166" s="88"/>
      <c r="B166" s="79"/>
      <c r="C166" s="79"/>
      <c r="D166" s="79"/>
      <c r="E166" s="79"/>
      <c r="F166" s="79"/>
      <c r="G166" s="76"/>
      <c r="H166" s="76"/>
      <c r="I166" s="76"/>
      <c r="J166" s="79"/>
    </row>
    <row r="167" spans="1:11" ht="20.100000000000001" customHeight="1">
      <c r="A167" s="88"/>
      <c r="B167" s="79"/>
      <c r="C167" s="79"/>
      <c r="D167" s="79"/>
      <c r="E167" s="79"/>
      <c r="F167" s="79"/>
      <c r="G167" s="76"/>
      <c r="H167" s="76"/>
      <c r="I167" s="76"/>
      <c r="J167" s="79"/>
    </row>
    <row r="168" spans="1:11" ht="20.100000000000001" customHeight="1">
      <c r="A168" s="88"/>
      <c r="B168" s="79"/>
      <c r="C168" s="79"/>
      <c r="D168" s="79"/>
      <c r="E168" s="79"/>
      <c r="F168" s="79"/>
      <c r="G168" s="76"/>
      <c r="H168" s="76"/>
      <c r="I168" s="76"/>
      <c r="J168" s="79"/>
    </row>
    <row r="169" spans="1:11" ht="20.100000000000001" customHeight="1" thickBot="1">
      <c r="A169" s="79"/>
      <c r="B169" s="964" t="s">
        <v>307</v>
      </c>
      <c r="C169" s="964"/>
      <c r="D169" s="964"/>
      <c r="E169" s="964"/>
      <c r="F169" s="964"/>
      <c r="G169" s="964"/>
      <c r="H169" s="964"/>
      <c r="I169" s="964"/>
      <c r="J169" s="79"/>
    </row>
    <row r="170" spans="1:11" ht="20.100000000000001" customHeight="1" thickBot="1">
      <c r="A170" s="79"/>
      <c r="B170" s="941" t="s">
        <v>135</v>
      </c>
      <c r="C170" s="942"/>
      <c r="D170" s="986" t="s">
        <v>143</v>
      </c>
      <c r="E170" s="987"/>
      <c r="F170" s="987"/>
      <c r="G170" s="987"/>
      <c r="H170" s="987"/>
      <c r="I170" s="988"/>
      <c r="J170" s="79"/>
      <c r="K170" s="2"/>
    </row>
    <row r="171" spans="1:11" ht="20.100000000000001" customHeight="1">
      <c r="A171" s="79"/>
      <c r="B171" s="984" t="s">
        <v>400</v>
      </c>
      <c r="C171" s="985"/>
      <c r="D171" s="1097" t="s">
        <v>403</v>
      </c>
      <c r="E171" s="1098"/>
      <c r="F171" s="1098"/>
      <c r="G171" s="1098"/>
      <c r="H171" s="1098"/>
      <c r="I171" s="1099"/>
      <c r="J171" s="79"/>
      <c r="K171" s="2"/>
    </row>
    <row r="172" spans="1:11" ht="20.100000000000001" customHeight="1">
      <c r="A172" s="79"/>
      <c r="B172" s="946" t="s">
        <v>401</v>
      </c>
      <c r="C172" s="947"/>
      <c r="D172" s="989" t="s">
        <v>222</v>
      </c>
      <c r="E172" s="990"/>
      <c r="F172" s="990"/>
      <c r="G172" s="990"/>
      <c r="H172" s="990"/>
      <c r="I172" s="991"/>
      <c r="J172" s="79"/>
      <c r="K172" s="2"/>
    </row>
    <row r="173" spans="1:11" ht="42" customHeight="1">
      <c r="A173" s="79"/>
      <c r="B173" s="946" t="s">
        <v>185</v>
      </c>
      <c r="C173" s="947"/>
      <c r="D173" s="1030" t="s">
        <v>585</v>
      </c>
      <c r="E173" s="1031"/>
      <c r="F173" s="1031"/>
      <c r="G173" s="1031"/>
      <c r="H173" s="1031"/>
      <c r="I173" s="1032"/>
      <c r="J173" s="79"/>
      <c r="K173" s="12"/>
    </row>
    <row r="174" spans="1:11" ht="20.100000000000001" customHeight="1" thickBot="1">
      <c r="A174" s="79"/>
      <c r="B174" s="949" t="s">
        <v>402</v>
      </c>
      <c r="C174" s="950"/>
      <c r="D174" s="1027" t="s">
        <v>308</v>
      </c>
      <c r="E174" s="1028"/>
      <c r="F174" s="1028"/>
      <c r="G174" s="1028"/>
      <c r="H174" s="1028"/>
      <c r="I174" s="1029"/>
      <c r="J174" s="79"/>
      <c r="K174" s="12"/>
    </row>
    <row r="175" spans="1:11" ht="20.100000000000001" customHeight="1">
      <c r="A175" s="79"/>
      <c r="B175" s="79"/>
      <c r="C175" s="92"/>
      <c r="D175" s="91"/>
      <c r="E175" s="79"/>
      <c r="F175" s="79"/>
      <c r="G175" s="93"/>
      <c r="H175" s="93"/>
      <c r="I175" s="93"/>
      <c r="J175" s="79"/>
      <c r="K175" s="12"/>
    </row>
    <row r="176" spans="1:11" ht="20.100000000000001" customHeight="1">
      <c r="A176" s="109" t="s">
        <v>449</v>
      </c>
      <c r="B176" s="111"/>
      <c r="C176" s="114"/>
      <c r="D176" s="115"/>
      <c r="E176" s="111"/>
      <c r="F176" s="111"/>
      <c r="G176" s="93"/>
      <c r="H176" s="93"/>
      <c r="I176" s="93"/>
      <c r="J176" s="79"/>
      <c r="K176" s="12"/>
    </row>
    <row r="177" spans="1:11" ht="20.100000000000001" customHeight="1">
      <c r="A177" s="116"/>
      <c r="B177" s="111"/>
      <c r="C177" s="111"/>
      <c r="D177" s="111"/>
      <c r="E177" s="111"/>
      <c r="F177" s="111"/>
      <c r="G177" s="76"/>
      <c r="H177" s="76"/>
      <c r="I177" s="76"/>
      <c r="J177" s="79"/>
    </row>
    <row r="178" spans="1:11" ht="20.100000000000001" customHeight="1">
      <c r="A178" s="110"/>
      <c r="B178" s="111"/>
      <c r="C178" s="111"/>
      <c r="D178" s="111"/>
      <c r="E178" s="111"/>
      <c r="F178" s="111"/>
      <c r="G178" s="76"/>
      <c r="H178" s="76"/>
      <c r="I178" s="76"/>
      <c r="J178" s="79"/>
    </row>
    <row r="179" spans="1:11" ht="20.100000000000001" customHeight="1">
      <c r="A179" s="110"/>
      <c r="B179" s="111"/>
      <c r="C179" s="111"/>
      <c r="D179" s="111"/>
      <c r="E179" s="111"/>
      <c r="F179" s="111"/>
      <c r="G179" s="76"/>
      <c r="H179" s="76"/>
      <c r="I179" s="76"/>
      <c r="J179" s="79"/>
    </row>
    <row r="180" spans="1:11" ht="20.100000000000001" customHeight="1">
      <c r="A180" s="109" t="s">
        <v>397</v>
      </c>
      <c r="B180" s="117"/>
      <c r="C180" s="118"/>
      <c r="D180" s="119"/>
      <c r="E180" s="117"/>
      <c r="F180" s="117"/>
      <c r="G180" s="120"/>
      <c r="H180" s="120"/>
      <c r="I180" s="120"/>
      <c r="J180" s="79"/>
      <c r="K180" s="12"/>
    </row>
    <row r="181" spans="1:11" ht="20.100000000000001" customHeight="1">
      <c r="A181" s="79" t="s">
        <v>137</v>
      </c>
      <c r="B181" s="79" t="s">
        <v>614</v>
      </c>
      <c r="C181" s="92"/>
      <c r="D181" s="91"/>
      <c r="E181" s="79"/>
      <c r="F181" s="79"/>
      <c r="G181" s="93"/>
      <c r="H181" s="93"/>
      <c r="I181" s="93"/>
      <c r="J181" s="79"/>
      <c r="K181" s="12"/>
    </row>
    <row r="182" spans="1:11" s="5" customFormat="1" ht="23.25" customHeight="1">
      <c r="A182" s="111"/>
      <c r="B182" s="79" t="s">
        <v>609</v>
      </c>
      <c r="C182" s="375"/>
      <c r="D182" s="376"/>
      <c r="E182" s="111"/>
      <c r="F182" s="111"/>
      <c r="G182" s="377"/>
      <c r="H182" s="111"/>
      <c r="I182" s="376"/>
      <c r="J182" s="111"/>
    </row>
    <row r="183" spans="1:11" ht="20.100000000000001" customHeight="1">
      <c r="A183" s="79" t="s">
        <v>211</v>
      </c>
      <c r="B183" s="79"/>
      <c r="C183" s="92"/>
      <c r="D183" s="91"/>
      <c r="E183" s="79"/>
      <c r="F183" s="79"/>
      <c r="G183" s="93"/>
      <c r="H183" s="93"/>
      <c r="I183" s="93"/>
      <c r="J183" s="79"/>
      <c r="K183" s="12"/>
    </row>
    <row r="184" spans="1:11" ht="20.100000000000001" customHeight="1">
      <c r="A184" s="79"/>
      <c r="B184" s="79" t="s">
        <v>398</v>
      </c>
      <c r="C184" s="92"/>
      <c r="D184" s="91"/>
      <c r="E184" s="79"/>
      <c r="F184" s="79"/>
      <c r="G184" s="93"/>
      <c r="H184" s="93"/>
      <c r="I184" s="93"/>
      <c r="J184" s="79"/>
      <c r="K184" s="12"/>
    </row>
    <row r="185" spans="1:11" ht="20.100000000000001" customHeight="1">
      <c r="A185" s="79"/>
      <c r="B185" s="109" t="s">
        <v>575</v>
      </c>
      <c r="C185" s="92"/>
      <c r="D185" s="91"/>
      <c r="E185" s="79"/>
      <c r="F185" s="79"/>
      <c r="G185" s="93"/>
      <c r="H185" s="93"/>
      <c r="I185" s="93"/>
      <c r="J185" s="79"/>
      <c r="K185" s="12"/>
    </row>
    <row r="186" spans="1:11" ht="20.100000000000001" customHeight="1">
      <c r="A186" s="79"/>
      <c r="B186" s="109" t="s">
        <v>580</v>
      </c>
      <c r="C186" s="92"/>
      <c r="D186" s="91"/>
      <c r="E186" s="79"/>
      <c r="F186" s="79"/>
      <c r="G186" s="93"/>
      <c r="H186" s="93"/>
      <c r="I186" s="93"/>
      <c r="J186" s="79"/>
      <c r="K186" s="12"/>
    </row>
    <row r="187" spans="1:11" ht="20.100000000000001" customHeight="1">
      <c r="A187" s="79"/>
      <c r="B187" s="79" t="s">
        <v>399</v>
      </c>
      <c r="C187" s="92"/>
      <c r="D187" s="91"/>
      <c r="E187" s="79"/>
      <c r="F187" s="79"/>
      <c r="G187" s="93"/>
      <c r="H187" s="93"/>
      <c r="I187" s="93"/>
      <c r="J187" s="79"/>
      <c r="K187" s="12"/>
    </row>
    <row r="188" spans="1:11" ht="20.100000000000001" customHeight="1">
      <c r="A188" s="79"/>
      <c r="B188" s="109" t="s">
        <v>576</v>
      </c>
      <c r="C188" s="92"/>
      <c r="D188" s="91"/>
      <c r="E188" s="79"/>
      <c r="F188" s="79"/>
      <c r="G188" s="93"/>
      <c r="H188" s="93"/>
      <c r="I188" s="93"/>
      <c r="J188" s="79"/>
      <c r="K188" s="12"/>
    </row>
    <row r="189" spans="1:11" ht="20.100000000000001" customHeight="1">
      <c r="A189" s="79"/>
      <c r="B189" s="109" t="s">
        <v>577</v>
      </c>
      <c r="C189" s="92"/>
      <c r="D189" s="91"/>
      <c r="E189" s="79"/>
      <c r="F189" s="79"/>
      <c r="G189" s="93"/>
      <c r="H189" s="93"/>
      <c r="I189" s="93"/>
      <c r="J189" s="79"/>
      <c r="K189" s="12"/>
    </row>
    <row r="190" spans="1:11" ht="20.100000000000001" customHeight="1">
      <c r="A190" s="79"/>
      <c r="B190" s="79"/>
      <c r="C190" s="92"/>
      <c r="D190" s="91"/>
      <c r="E190" s="79"/>
      <c r="F190" s="79"/>
      <c r="G190" s="93"/>
      <c r="H190" s="93"/>
      <c r="I190" s="93"/>
      <c r="J190" s="79"/>
      <c r="K190" s="12"/>
    </row>
    <row r="191" spans="1:11" ht="20.100000000000001" customHeight="1">
      <c r="A191" s="79" t="s">
        <v>212</v>
      </c>
      <c r="B191" s="79"/>
      <c r="C191" s="92"/>
      <c r="D191" s="91"/>
      <c r="E191" s="79"/>
      <c r="F191" s="79"/>
      <c r="G191" s="93"/>
      <c r="H191" s="93"/>
      <c r="I191" s="93"/>
      <c r="J191" s="79"/>
      <c r="K191" s="12"/>
    </row>
    <row r="192" spans="1:11" ht="20.100000000000001" customHeight="1">
      <c r="A192" s="79"/>
      <c r="B192" s="79" t="s">
        <v>398</v>
      </c>
      <c r="C192" s="92"/>
      <c r="D192" s="91"/>
      <c r="E192" s="79"/>
      <c r="F192" s="79"/>
      <c r="G192" s="93"/>
      <c r="H192" s="93"/>
      <c r="I192" s="93"/>
      <c r="J192" s="79"/>
      <c r="K192" s="12"/>
    </row>
    <row r="193" spans="1:11" ht="20.100000000000001" customHeight="1">
      <c r="A193" s="79"/>
      <c r="B193" s="109" t="s">
        <v>578</v>
      </c>
      <c r="C193" s="92"/>
      <c r="D193" s="91"/>
      <c r="E193" s="79"/>
      <c r="F193" s="79"/>
      <c r="G193" s="93"/>
      <c r="H193" s="93"/>
      <c r="I193" s="93"/>
      <c r="J193" s="79"/>
      <c r="K193" s="12"/>
    </row>
    <row r="194" spans="1:11" ht="20.100000000000001" customHeight="1">
      <c r="A194" s="79"/>
      <c r="B194" s="79"/>
      <c r="C194" s="92"/>
      <c r="D194" s="91"/>
      <c r="E194" s="79"/>
      <c r="F194" s="79"/>
      <c r="G194" s="93"/>
      <c r="H194" s="93"/>
      <c r="I194" s="93"/>
      <c r="J194" s="79"/>
      <c r="K194" s="12"/>
    </row>
    <row r="195" spans="1:11" ht="20.100000000000001" customHeight="1">
      <c r="A195" s="79"/>
      <c r="B195" s="79" t="s">
        <v>399</v>
      </c>
      <c r="C195" s="92"/>
      <c r="D195" s="91"/>
      <c r="E195" s="79"/>
      <c r="F195" s="79"/>
      <c r="G195" s="93"/>
      <c r="H195" s="93"/>
      <c r="I195" s="93"/>
      <c r="J195" s="79"/>
      <c r="K195" s="12"/>
    </row>
    <row r="196" spans="1:11" ht="20.100000000000001" customHeight="1">
      <c r="A196" s="79"/>
      <c r="B196" s="109" t="s">
        <v>579</v>
      </c>
      <c r="C196" s="92"/>
      <c r="D196" s="91"/>
      <c r="E196" s="79"/>
      <c r="F196" s="79"/>
      <c r="G196" s="93"/>
      <c r="H196" s="93"/>
      <c r="I196" s="93"/>
      <c r="J196" s="79"/>
      <c r="K196" s="12"/>
    </row>
    <row r="197" spans="1:11" ht="20.100000000000001" customHeight="1" thickBot="1">
      <c r="A197" s="79"/>
      <c r="B197" s="964" t="s">
        <v>309</v>
      </c>
      <c r="C197" s="964"/>
      <c r="D197" s="964"/>
      <c r="E197" s="964"/>
      <c r="F197" s="964"/>
      <c r="G197" s="964"/>
      <c r="H197" s="964"/>
      <c r="I197" s="964"/>
      <c r="J197" s="79"/>
    </row>
    <row r="198" spans="1:11" ht="20.100000000000001" customHeight="1" thickBot="1">
      <c r="A198" s="79"/>
      <c r="B198" s="1115" t="s">
        <v>135</v>
      </c>
      <c r="C198" s="1116"/>
      <c r="D198" s="1117"/>
      <c r="E198" s="995" t="s">
        <v>143</v>
      </c>
      <c r="F198" s="996"/>
      <c r="G198" s="996"/>
      <c r="H198" s="996"/>
      <c r="I198" s="997"/>
      <c r="J198" s="79"/>
      <c r="K198" s="2"/>
    </row>
    <row r="199" spans="1:11" ht="20.100000000000001" customHeight="1">
      <c r="A199" s="79"/>
      <c r="B199" s="931" t="s">
        <v>430</v>
      </c>
      <c r="C199" s="929"/>
      <c r="D199" s="930"/>
      <c r="E199" s="1111" t="s">
        <v>436</v>
      </c>
      <c r="F199" s="1112"/>
      <c r="G199" s="1112"/>
      <c r="H199" s="1112"/>
      <c r="I199" s="1113"/>
      <c r="J199" s="79"/>
      <c r="K199" s="2"/>
    </row>
    <row r="200" spans="1:11" ht="20.100000000000001" customHeight="1">
      <c r="A200" s="79"/>
      <c r="B200" s="931" t="s">
        <v>431</v>
      </c>
      <c r="C200" s="929"/>
      <c r="D200" s="930"/>
      <c r="E200" s="1024" t="s">
        <v>437</v>
      </c>
      <c r="F200" s="1025"/>
      <c r="G200" s="1025"/>
      <c r="H200" s="1025"/>
      <c r="I200" s="1026"/>
      <c r="J200" s="79"/>
      <c r="K200" s="2"/>
    </row>
    <row r="201" spans="1:11" ht="20.100000000000001" customHeight="1">
      <c r="A201" s="79"/>
      <c r="B201" s="931" t="s">
        <v>432</v>
      </c>
      <c r="C201" s="929"/>
      <c r="D201" s="930"/>
      <c r="E201" s="1024" t="s">
        <v>438</v>
      </c>
      <c r="F201" s="1025"/>
      <c r="G201" s="1025"/>
      <c r="H201" s="1025"/>
      <c r="I201" s="1026"/>
      <c r="J201" s="79"/>
      <c r="K201" s="2"/>
    </row>
    <row r="202" spans="1:11" ht="20.100000000000001" customHeight="1">
      <c r="A202" s="79"/>
      <c r="B202" s="931" t="s">
        <v>433</v>
      </c>
      <c r="C202" s="929"/>
      <c r="D202" s="930"/>
      <c r="E202" s="1024" t="s">
        <v>439</v>
      </c>
      <c r="F202" s="1025"/>
      <c r="G202" s="1025"/>
      <c r="H202" s="1025"/>
      <c r="I202" s="1026"/>
      <c r="J202" s="79"/>
      <c r="K202" s="2"/>
    </row>
    <row r="203" spans="1:11" ht="20.100000000000001" customHeight="1">
      <c r="A203" s="79"/>
      <c r="B203" s="1100" t="s">
        <v>434</v>
      </c>
      <c r="C203" s="1101"/>
      <c r="D203" s="1102"/>
      <c r="E203" s="1024" t="s">
        <v>440</v>
      </c>
      <c r="F203" s="1025"/>
      <c r="G203" s="1025"/>
      <c r="H203" s="1025"/>
      <c r="I203" s="1026"/>
      <c r="J203" s="79"/>
      <c r="K203" s="2"/>
    </row>
    <row r="204" spans="1:11" ht="20.100000000000001" customHeight="1" thickBot="1">
      <c r="A204" s="79"/>
      <c r="B204" s="932" t="s">
        <v>435</v>
      </c>
      <c r="C204" s="933"/>
      <c r="D204" s="934"/>
      <c r="E204" s="1021" t="s">
        <v>441</v>
      </c>
      <c r="F204" s="1022"/>
      <c r="G204" s="1022"/>
      <c r="H204" s="1022"/>
      <c r="I204" s="1023"/>
      <c r="J204" s="79"/>
      <c r="K204" s="2"/>
    </row>
    <row r="205" spans="1:11" ht="20.100000000000001" customHeight="1">
      <c r="A205" s="79"/>
      <c r="B205" s="79"/>
      <c r="C205" s="92"/>
      <c r="D205" s="91"/>
      <c r="E205" s="79"/>
      <c r="F205" s="79"/>
      <c r="G205" s="93"/>
      <c r="H205" s="93"/>
      <c r="I205" s="93"/>
      <c r="J205" s="79"/>
      <c r="K205" s="12"/>
    </row>
    <row r="206" spans="1:11" ht="20.100000000000001" customHeight="1">
      <c r="A206" s="88" t="s">
        <v>310</v>
      </c>
      <c r="B206" s="79"/>
      <c r="C206" s="79"/>
      <c r="D206" s="79"/>
      <c r="E206" s="79"/>
      <c r="F206" s="79"/>
      <c r="G206" s="76"/>
      <c r="H206" s="76"/>
      <c r="I206" s="76"/>
      <c r="J206" s="79"/>
    </row>
    <row r="207" spans="1:11" ht="20.100000000000001" customHeight="1">
      <c r="A207" s="79" t="s">
        <v>379</v>
      </c>
      <c r="B207" s="88"/>
      <c r="C207" s="79"/>
      <c r="D207" s="79"/>
      <c r="E207" s="79"/>
      <c r="F207" s="79"/>
      <c r="G207" s="79"/>
      <c r="H207" s="79"/>
      <c r="I207" s="79"/>
      <c r="J207" s="76"/>
    </row>
    <row r="208" spans="1:11" ht="20.100000000000001" customHeight="1">
      <c r="A208" s="79"/>
      <c r="B208" s="937" t="s">
        <v>582</v>
      </c>
      <c r="C208" s="937"/>
      <c r="D208" s="937"/>
      <c r="E208" s="937"/>
      <c r="F208" s="937"/>
      <c r="G208" s="937"/>
      <c r="H208" s="937"/>
      <c r="I208" s="937"/>
      <c r="J208" s="76"/>
    </row>
    <row r="209" spans="1:11" ht="20.100000000000001" customHeight="1">
      <c r="A209" s="79"/>
      <c r="B209" s="936" t="s">
        <v>583</v>
      </c>
      <c r="C209" s="936"/>
      <c r="D209" s="936"/>
      <c r="E209" s="936"/>
      <c r="F209" s="936"/>
      <c r="G209" s="936"/>
      <c r="H209" s="936"/>
      <c r="I209" s="936"/>
      <c r="J209" s="76"/>
    </row>
    <row r="210" spans="1:11" ht="20.100000000000001" customHeight="1">
      <c r="A210" s="79"/>
      <c r="B210" s="936" t="s">
        <v>581</v>
      </c>
      <c r="C210" s="936"/>
      <c r="D210" s="936"/>
      <c r="E210" s="936"/>
      <c r="F210" s="936"/>
      <c r="G210" s="936"/>
      <c r="H210" s="936"/>
      <c r="I210" s="936"/>
      <c r="J210" s="76"/>
    </row>
    <row r="211" spans="1:11" ht="20.100000000000001" customHeight="1">
      <c r="A211" s="79"/>
      <c r="B211" s="936" t="s">
        <v>584</v>
      </c>
      <c r="C211" s="936"/>
      <c r="D211" s="936"/>
      <c r="E211" s="936"/>
      <c r="F211" s="936"/>
      <c r="G211" s="936"/>
      <c r="H211" s="936"/>
      <c r="I211" s="936"/>
      <c r="J211" s="76"/>
    </row>
    <row r="212" spans="1:11" ht="20.100000000000001" customHeight="1">
      <c r="A212" s="88"/>
      <c r="B212" s="935" t="s">
        <v>376</v>
      </c>
      <c r="C212" s="935"/>
      <c r="D212" s="935"/>
      <c r="E212" s="935"/>
      <c r="F212" s="935"/>
      <c r="G212" s="935"/>
      <c r="H212" s="935"/>
      <c r="I212" s="935"/>
      <c r="J212" s="79"/>
    </row>
    <row r="213" spans="1:11" ht="20.100000000000001" customHeight="1">
      <c r="A213" s="88"/>
      <c r="B213" s="935" t="s">
        <v>412</v>
      </c>
      <c r="C213" s="935"/>
      <c r="D213" s="935"/>
      <c r="E213" s="935"/>
      <c r="F213" s="935"/>
      <c r="G213" s="935"/>
      <c r="H213" s="935"/>
      <c r="I213" s="935"/>
      <c r="J213" s="79"/>
    </row>
    <row r="214" spans="1:11" ht="20.100000000000001" customHeight="1">
      <c r="A214" s="250"/>
      <c r="B214" s="935" t="s">
        <v>378</v>
      </c>
      <c r="C214" s="935"/>
      <c r="D214" s="935"/>
      <c r="E214" s="935"/>
      <c r="F214" s="935"/>
      <c r="G214" s="935"/>
      <c r="H214" s="935"/>
      <c r="I214" s="935"/>
      <c r="J214" s="79"/>
    </row>
    <row r="215" spans="1:11" ht="20.100000000000001" customHeight="1">
      <c r="A215" s="88"/>
      <c r="B215" s="948" t="s">
        <v>311</v>
      </c>
      <c r="C215" s="948"/>
      <c r="D215" s="948"/>
      <c r="E215" s="948"/>
      <c r="F215" s="948"/>
      <c r="G215" s="948"/>
      <c r="H215" s="393"/>
      <c r="I215" s="393"/>
      <c r="J215" s="79"/>
    </row>
    <row r="216" spans="1:11" ht="20.100000000000001" customHeight="1">
      <c r="A216" s="250"/>
      <c r="B216" s="1001" t="s">
        <v>647</v>
      </c>
      <c r="C216" s="1001"/>
      <c r="D216" s="1001"/>
      <c r="E216" s="1001"/>
      <c r="F216" s="1001"/>
      <c r="G216" s="1001"/>
      <c r="H216" s="1001"/>
      <c r="I216" s="1001"/>
      <c r="J216" s="79"/>
    </row>
    <row r="217" spans="1:11" ht="20.100000000000001" customHeight="1">
      <c r="A217" s="79"/>
      <c r="B217" s="79"/>
      <c r="C217" s="92"/>
      <c r="D217" s="91"/>
      <c r="E217" s="79"/>
      <c r="F217" s="79"/>
      <c r="G217" s="93"/>
      <c r="H217" s="93"/>
      <c r="I217" s="93"/>
      <c r="J217" s="79"/>
      <c r="K217" s="12"/>
    </row>
    <row r="218" spans="1:11" ht="20.100000000000001" customHeight="1">
      <c r="A218" s="88" t="s">
        <v>312</v>
      </c>
      <c r="B218" s="79"/>
      <c r="C218" s="79"/>
      <c r="D218" s="79"/>
      <c r="E218" s="79"/>
      <c r="F218" s="79"/>
      <c r="G218" s="76"/>
      <c r="H218" s="76"/>
      <c r="I218" s="76"/>
      <c r="J218" s="79"/>
      <c r="K218" s="12"/>
    </row>
    <row r="219" spans="1:11" ht="20.100000000000001" customHeight="1">
      <c r="A219" s="79" t="s">
        <v>382</v>
      </c>
      <c r="B219" s="88"/>
      <c r="C219" s="79"/>
      <c r="D219" s="79"/>
      <c r="E219" s="79"/>
      <c r="F219" s="79"/>
      <c r="G219" s="79"/>
      <c r="H219" s="79"/>
      <c r="I219" s="79"/>
      <c r="J219" s="76"/>
    </row>
    <row r="220" spans="1:11" ht="20.100000000000001" customHeight="1">
      <c r="A220" s="79"/>
      <c r="B220" s="936" t="s">
        <v>581</v>
      </c>
      <c r="C220" s="936"/>
      <c r="D220" s="936"/>
      <c r="E220" s="936"/>
      <c r="F220" s="936"/>
      <c r="G220" s="936"/>
      <c r="H220" s="936"/>
      <c r="I220" s="936"/>
      <c r="J220" s="76"/>
    </row>
    <row r="221" spans="1:11" ht="20.100000000000001" customHeight="1">
      <c r="A221" s="79"/>
      <c r="B221" s="936" t="s">
        <v>584</v>
      </c>
      <c r="C221" s="936"/>
      <c r="D221" s="936"/>
      <c r="E221" s="936"/>
      <c r="F221" s="936"/>
      <c r="G221" s="936"/>
      <c r="H221" s="936"/>
      <c r="I221" s="936"/>
      <c r="J221" s="76"/>
    </row>
    <row r="222" spans="1:11" ht="20.100000000000001" customHeight="1">
      <c r="A222" s="79"/>
      <c r="B222" s="936" t="s">
        <v>586</v>
      </c>
      <c r="C222" s="936"/>
      <c r="D222" s="936"/>
      <c r="E222" s="936"/>
      <c r="F222" s="936"/>
      <c r="G222" s="936"/>
      <c r="H222" s="936"/>
      <c r="I222" s="936"/>
      <c r="J222" s="76"/>
    </row>
    <row r="223" spans="1:11" ht="20.100000000000001" customHeight="1">
      <c r="A223" s="79"/>
      <c r="B223" s="936" t="s">
        <v>587</v>
      </c>
      <c r="C223" s="936"/>
      <c r="D223" s="936"/>
      <c r="E223" s="936"/>
      <c r="F223" s="936"/>
      <c r="G223" s="936"/>
      <c r="H223" s="936"/>
      <c r="I223" s="936"/>
      <c r="J223" s="76"/>
    </row>
    <row r="224" spans="1:11" ht="20.100000000000001" customHeight="1">
      <c r="A224" s="79"/>
      <c r="B224" s="936" t="s">
        <v>453</v>
      </c>
      <c r="C224" s="936"/>
      <c r="D224" s="936"/>
      <c r="E224" s="936"/>
      <c r="F224" s="936"/>
      <c r="G224" s="936"/>
      <c r="H224" s="936"/>
      <c r="I224" s="936"/>
      <c r="J224" s="76"/>
    </row>
    <row r="225" spans="1:11" ht="20.100000000000001" customHeight="1">
      <c r="A225" s="88"/>
      <c r="B225" s="935" t="s">
        <v>380</v>
      </c>
      <c r="C225" s="935"/>
      <c r="D225" s="935"/>
      <c r="E225" s="935"/>
      <c r="F225" s="935"/>
      <c r="G225" s="935"/>
      <c r="H225" s="935"/>
      <c r="I225" s="935"/>
      <c r="J225" s="79"/>
    </row>
    <row r="226" spans="1:11" ht="20.100000000000001" customHeight="1">
      <c r="A226" s="88"/>
      <c r="B226" s="935" t="s">
        <v>377</v>
      </c>
      <c r="C226" s="935"/>
      <c r="D226" s="935"/>
      <c r="E226" s="935"/>
      <c r="F226" s="935"/>
      <c r="G226" s="935"/>
      <c r="H226" s="935"/>
      <c r="I226" s="935"/>
      <c r="J226" s="79"/>
    </row>
    <row r="227" spans="1:11" ht="20.100000000000001" customHeight="1">
      <c r="A227" s="250"/>
      <c r="B227" s="1001" t="s">
        <v>647</v>
      </c>
      <c r="C227" s="1001"/>
      <c r="D227" s="1001"/>
      <c r="E227" s="1001"/>
      <c r="F227" s="1001"/>
      <c r="G227" s="1001"/>
      <c r="H227" s="1001"/>
      <c r="I227" s="1001"/>
      <c r="J227" s="79"/>
    </row>
    <row r="228" spans="1:11" ht="20.100000000000001" customHeight="1">
      <c r="A228" s="88"/>
      <c r="B228" s="84"/>
      <c r="C228" s="84"/>
      <c r="D228" s="84"/>
      <c r="E228" s="84"/>
      <c r="F228" s="84"/>
      <c r="G228" s="84"/>
      <c r="H228" s="84"/>
      <c r="I228" s="84"/>
      <c r="J228" s="79"/>
    </row>
    <row r="229" spans="1:11" ht="20.100000000000001" customHeight="1">
      <c r="A229" s="109" t="s">
        <v>215</v>
      </c>
      <c r="B229" s="79"/>
      <c r="C229" s="92"/>
      <c r="D229" s="91"/>
      <c r="E229" s="79"/>
      <c r="F229" s="79"/>
      <c r="G229" s="93"/>
      <c r="H229" s="93"/>
      <c r="I229" s="93"/>
      <c r="J229" s="79"/>
      <c r="K229" s="12"/>
    </row>
    <row r="230" spans="1:11" ht="20.100000000000001" customHeight="1">
      <c r="A230" s="109"/>
      <c r="B230" s="79" t="s">
        <v>474</v>
      </c>
      <c r="C230" s="92"/>
      <c r="D230" s="91"/>
      <c r="E230" s="79"/>
      <c r="F230" s="79"/>
      <c r="G230" s="93"/>
      <c r="H230" s="93"/>
      <c r="I230" s="93"/>
      <c r="J230" s="79"/>
      <c r="K230" s="12"/>
    </row>
    <row r="231" spans="1:11" ht="20.100000000000001" customHeight="1">
      <c r="A231" s="113"/>
      <c r="B231" s="79"/>
      <c r="C231" s="79"/>
      <c r="D231" s="79"/>
      <c r="E231" s="79"/>
      <c r="F231" s="79"/>
      <c r="G231" s="76"/>
      <c r="H231" s="76"/>
      <c r="I231" s="76"/>
      <c r="J231" s="79"/>
      <c r="K231" s="12"/>
    </row>
    <row r="232" spans="1:11" ht="20.100000000000001" customHeight="1">
      <c r="A232" s="88"/>
      <c r="B232" s="79"/>
      <c r="C232" s="79"/>
      <c r="D232" s="79"/>
      <c r="E232" s="79"/>
      <c r="F232" s="79"/>
      <c r="G232" s="76"/>
      <c r="H232" s="76"/>
      <c r="I232" s="76"/>
      <c r="J232" s="79"/>
      <c r="K232" s="12"/>
    </row>
    <row r="233" spans="1:11" ht="20.100000000000001" customHeight="1">
      <c r="A233" s="88"/>
      <c r="B233" s="79"/>
      <c r="C233" s="79"/>
      <c r="D233" s="79"/>
      <c r="E233" s="79"/>
      <c r="F233" s="79"/>
      <c r="G233" s="76"/>
      <c r="H233" s="76"/>
      <c r="I233" s="76"/>
      <c r="J233" s="79"/>
      <c r="K233" s="12"/>
    </row>
    <row r="234" spans="1:11" ht="20.100000000000001" customHeight="1">
      <c r="A234" s="88"/>
      <c r="B234" s="79"/>
      <c r="C234" s="79"/>
      <c r="D234" s="79"/>
      <c r="E234" s="79"/>
      <c r="F234" s="79"/>
      <c r="G234" s="76"/>
      <c r="H234" s="76"/>
      <c r="I234" s="76"/>
      <c r="J234" s="79"/>
    </row>
    <row r="235" spans="1:11" ht="20.100000000000001" customHeight="1">
      <c r="A235" s="88"/>
      <c r="B235" s="79"/>
      <c r="C235" s="79"/>
      <c r="D235" s="79"/>
      <c r="E235" s="79"/>
      <c r="F235" s="79"/>
      <c r="G235" s="76"/>
      <c r="H235" s="76"/>
      <c r="I235" s="76"/>
      <c r="J235" s="79"/>
      <c r="K235" s="2"/>
    </row>
    <row r="236" spans="1:11" ht="20.100000000000001" customHeight="1">
      <c r="A236" s="88"/>
      <c r="B236" s="79"/>
      <c r="C236" s="79"/>
      <c r="D236" s="79"/>
      <c r="E236" s="79"/>
      <c r="F236" s="79"/>
      <c r="G236" s="76"/>
      <c r="H236" s="76"/>
      <c r="I236" s="76"/>
      <c r="J236" s="79"/>
      <c r="K236" s="2"/>
    </row>
    <row r="237" spans="1:11" ht="20.100000000000001" customHeight="1">
      <c r="A237" s="88"/>
      <c r="B237" s="79"/>
      <c r="C237" s="79"/>
      <c r="D237" s="79"/>
      <c r="E237" s="79"/>
      <c r="F237" s="79"/>
      <c r="G237" s="76"/>
      <c r="H237" s="76"/>
      <c r="I237" s="76"/>
      <c r="J237" s="79"/>
      <c r="K237" s="2"/>
    </row>
    <row r="238" spans="1:11" ht="20.100000000000001" customHeight="1">
      <c r="A238" s="88"/>
      <c r="B238" s="79"/>
      <c r="C238" s="79"/>
      <c r="D238" s="79"/>
      <c r="E238" s="79"/>
      <c r="F238" s="79"/>
      <c r="G238" s="76"/>
      <c r="H238" s="76"/>
      <c r="I238" s="76"/>
      <c r="J238" s="79"/>
      <c r="K238" s="2"/>
    </row>
    <row r="239" spans="1:11" ht="20.100000000000001" customHeight="1">
      <c r="A239" s="88"/>
      <c r="B239" s="79"/>
      <c r="C239" s="79"/>
      <c r="D239" s="79"/>
      <c r="E239" s="79"/>
      <c r="F239" s="79"/>
      <c r="G239" s="76"/>
      <c r="H239" s="76"/>
      <c r="I239" s="76"/>
      <c r="J239" s="79"/>
      <c r="K239" s="12"/>
    </row>
    <row r="240" spans="1:11" ht="20.100000000000001" customHeight="1" thickBot="1">
      <c r="A240" s="79"/>
      <c r="B240" s="964" t="s">
        <v>392</v>
      </c>
      <c r="C240" s="964"/>
      <c r="D240" s="964"/>
      <c r="E240" s="964"/>
      <c r="F240" s="964"/>
      <c r="G240" s="964"/>
      <c r="H240" s="964"/>
      <c r="I240" s="964"/>
      <c r="J240" s="79"/>
      <c r="K240" s="2"/>
    </row>
    <row r="241" spans="1:11" ht="20.100000000000001" customHeight="1" thickBot="1">
      <c r="A241" s="79"/>
      <c r="B241" s="941" t="s">
        <v>135</v>
      </c>
      <c r="C241" s="942"/>
      <c r="D241" s="986" t="s">
        <v>143</v>
      </c>
      <c r="E241" s="987"/>
      <c r="F241" s="987"/>
      <c r="G241" s="987"/>
      <c r="H241" s="987"/>
      <c r="I241" s="988"/>
      <c r="J241" s="79"/>
      <c r="K241" s="12"/>
    </row>
    <row r="242" spans="1:11" ht="20.100000000000001" customHeight="1">
      <c r="A242" s="79"/>
      <c r="B242" s="1095" t="s">
        <v>219</v>
      </c>
      <c r="C242" s="1096"/>
      <c r="D242" s="992" t="s">
        <v>218</v>
      </c>
      <c r="E242" s="993"/>
      <c r="F242" s="993"/>
      <c r="G242" s="993"/>
      <c r="H242" s="993"/>
      <c r="I242" s="994"/>
      <c r="J242" s="79"/>
      <c r="K242" s="12"/>
    </row>
    <row r="243" spans="1:11" ht="20.100000000000001" customHeight="1">
      <c r="A243" s="79"/>
      <c r="B243" s="984" t="s">
        <v>216</v>
      </c>
      <c r="C243" s="985"/>
      <c r="D243" s="989" t="s">
        <v>217</v>
      </c>
      <c r="E243" s="990"/>
      <c r="F243" s="990"/>
      <c r="G243" s="990"/>
      <c r="H243" s="990"/>
      <c r="I243" s="991"/>
      <c r="J243" s="79"/>
      <c r="K243" s="12"/>
    </row>
    <row r="244" spans="1:11" ht="20.100000000000001" customHeight="1">
      <c r="A244" s="79"/>
      <c r="B244" s="946" t="s">
        <v>220</v>
      </c>
      <c r="C244" s="947"/>
      <c r="D244" s="989" t="s">
        <v>221</v>
      </c>
      <c r="E244" s="990"/>
      <c r="F244" s="990"/>
      <c r="G244" s="990"/>
      <c r="H244" s="990"/>
      <c r="I244" s="991"/>
      <c r="J244" s="79"/>
      <c r="K244" s="12"/>
    </row>
    <row r="245" spans="1:11" ht="20.100000000000001" customHeight="1" thickBot="1">
      <c r="A245" s="79"/>
      <c r="B245" s="949" t="s">
        <v>527</v>
      </c>
      <c r="C245" s="950"/>
      <c r="D245" s="1092" t="s">
        <v>473</v>
      </c>
      <c r="E245" s="1093"/>
      <c r="F245" s="1093"/>
      <c r="G245" s="1093"/>
      <c r="H245" s="1093"/>
      <c r="I245" s="1094"/>
      <c r="J245" s="79"/>
      <c r="K245" s="12"/>
    </row>
    <row r="246" spans="1:11" ht="20.100000000000001" customHeight="1">
      <c r="A246" s="88"/>
      <c r="B246" s="79"/>
      <c r="C246" s="79"/>
      <c r="D246" s="79"/>
      <c r="E246" s="79"/>
      <c r="F246" s="79"/>
      <c r="G246" s="76"/>
      <c r="H246" s="76"/>
      <c r="I246" s="76"/>
      <c r="J246" s="79"/>
      <c r="K246" s="12"/>
    </row>
    <row r="247" spans="1:11" ht="20.100000000000001" customHeight="1">
      <c r="A247" s="109" t="s">
        <v>313</v>
      </c>
      <c r="B247" s="79"/>
      <c r="C247" s="92"/>
      <c r="D247" s="91"/>
      <c r="E247" s="79"/>
      <c r="F247" s="79"/>
      <c r="G247" s="93"/>
      <c r="H247" s="93"/>
      <c r="I247" s="93"/>
      <c r="J247" s="79"/>
    </row>
    <row r="248" spans="1:11" ht="20.100000000000001" customHeight="1">
      <c r="A248" s="88"/>
      <c r="B248" s="79" t="s">
        <v>314</v>
      </c>
      <c r="C248" s="92"/>
      <c r="D248" s="91"/>
      <c r="E248" s="79"/>
      <c r="F248" s="79"/>
      <c r="G248" s="93"/>
      <c r="H248" s="93"/>
      <c r="I248" s="93"/>
      <c r="J248" s="79"/>
    </row>
    <row r="249" spans="1:11" ht="20.100000000000001" customHeight="1">
      <c r="A249" s="110"/>
      <c r="B249" s="111"/>
      <c r="C249" s="114"/>
      <c r="D249" s="115"/>
      <c r="E249" s="111"/>
      <c r="F249" s="111"/>
      <c r="G249" s="121"/>
      <c r="H249" s="121"/>
      <c r="I249" s="121"/>
      <c r="J249" s="79"/>
    </row>
    <row r="250" spans="1:11" ht="20.100000000000001" customHeight="1">
      <c r="A250" s="109" t="s">
        <v>315</v>
      </c>
      <c r="B250" s="79"/>
      <c r="C250" s="92"/>
      <c r="D250" s="91"/>
      <c r="E250" s="79"/>
      <c r="F250" s="79"/>
      <c r="G250" s="93"/>
      <c r="H250" s="93"/>
      <c r="I250" s="93"/>
      <c r="J250" s="79"/>
    </row>
    <row r="251" spans="1:11" ht="20.100000000000001" customHeight="1">
      <c r="A251" s="88"/>
      <c r="B251" s="79"/>
      <c r="C251" s="79" t="s">
        <v>330</v>
      </c>
      <c r="D251" s="79"/>
      <c r="E251" s="79"/>
      <c r="F251" s="79"/>
      <c r="G251" s="76"/>
      <c r="H251" s="76"/>
      <c r="I251" s="76"/>
      <c r="J251" s="79"/>
    </row>
    <row r="252" spans="1:11" ht="20.100000000000001" customHeight="1">
      <c r="A252" s="88"/>
      <c r="B252" s="79"/>
      <c r="C252" s="79"/>
      <c r="D252" s="79"/>
      <c r="E252" s="79"/>
      <c r="F252" s="79"/>
      <c r="G252" s="76"/>
      <c r="H252" s="76"/>
      <c r="I252" s="76"/>
      <c r="J252" s="79"/>
      <c r="K252" s="12"/>
    </row>
    <row r="253" spans="1:11" ht="20.100000000000001" customHeight="1">
      <c r="A253" s="88" t="s">
        <v>391</v>
      </c>
      <c r="B253" s="79"/>
      <c r="C253" s="79"/>
      <c r="D253" s="79"/>
      <c r="E253" s="79"/>
      <c r="F253" s="79"/>
      <c r="G253" s="76"/>
      <c r="H253" s="76"/>
      <c r="I253" s="76"/>
      <c r="J253" s="79"/>
    </row>
    <row r="254" spans="1:11" ht="20.100000000000001" customHeight="1">
      <c r="A254" s="88"/>
      <c r="B254" s="935" t="s">
        <v>442</v>
      </c>
      <c r="C254" s="935"/>
      <c r="D254" s="935"/>
      <c r="E254" s="935"/>
      <c r="F254" s="935"/>
      <c r="G254" s="935"/>
      <c r="H254" s="935"/>
      <c r="I254" s="935"/>
      <c r="J254" s="79"/>
    </row>
    <row r="255" spans="1:11" ht="20.100000000000001" customHeight="1">
      <c r="A255" s="88"/>
      <c r="B255" s="935"/>
      <c r="C255" s="935"/>
      <c r="D255" s="935"/>
      <c r="E255" s="935"/>
      <c r="F255" s="935"/>
      <c r="G255" s="935"/>
      <c r="H255" s="935"/>
      <c r="I255" s="935"/>
      <c r="J255" s="79"/>
    </row>
    <row r="256" spans="1:11" ht="20.100000000000001" customHeight="1">
      <c r="A256" s="88"/>
      <c r="B256" s="935"/>
      <c r="C256" s="935"/>
      <c r="D256" s="935"/>
      <c r="E256" s="935"/>
      <c r="F256" s="935"/>
      <c r="G256" s="935"/>
      <c r="H256" s="935"/>
      <c r="I256" s="935"/>
      <c r="J256" s="79"/>
    </row>
    <row r="257" spans="1:10" ht="20.100000000000001" customHeight="1">
      <c r="A257" s="88"/>
      <c r="B257" s="935"/>
      <c r="C257" s="935"/>
      <c r="D257" s="935"/>
      <c r="E257" s="935"/>
      <c r="F257" s="935"/>
      <c r="G257" s="935"/>
      <c r="H257" s="935"/>
      <c r="I257" s="935"/>
      <c r="J257" s="79"/>
    </row>
    <row r="258" spans="1:10" ht="20.100000000000001" customHeight="1">
      <c r="A258" s="88"/>
      <c r="B258" s="935"/>
      <c r="C258" s="935"/>
      <c r="D258" s="935"/>
      <c r="E258" s="935"/>
      <c r="F258" s="935"/>
      <c r="G258" s="935"/>
      <c r="H258" s="935"/>
      <c r="I258" s="935"/>
      <c r="J258" s="79"/>
    </row>
    <row r="259" spans="1:10" ht="20.100000000000001" customHeight="1">
      <c r="A259" s="88"/>
      <c r="B259" s="1002" t="s">
        <v>501</v>
      </c>
      <c r="C259" s="1002"/>
      <c r="D259" s="1002"/>
      <c r="E259" s="1002"/>
      <c r="F259" s="1002"/>
      <c r="G259" s="1002"/>
      <c r="H259" s="1002"/>
      <c r="I259" s="1002"/>
      <c r="J259" s="79"/>
    </row>
    <row r="260" spans="1:10" ht="20.100000000000001" customHeight="1">
      <c r="A260" s="79"/>
      <c r="B260" s="954" t="s">
        <v>335</v>
      </c>
      <c r="C260" s="954"/>
      <c r="D260" s="954"/>
      <c r="E260" s="954" t="s">
        <v>336</v>
      </c>
      <c r="F260" s="954"/>
      <c r="G260" s="954"/>
      <c r="H260" s="954"/>
      <c r="I260" s="954"/>
      <c r="J260" s="76"/>
    </row>
    <row r="261" spans="1:10" ht="20.100000000000001" customHeight="1">
      <c r="A261" s="79"/>
      <c r="B261" s="954" t="s">
        <v>337</v>
      </c>
      <c r="C261" s="954"/>
      <c r="D261" s="954"/>
      <c r="E261" s="1034" t="s">
        <v>338</v>
      </c>
      <c r="F261" s="1034"/>
      <c r="G261" s="1034"/>
      <c r="H261" s="1034"/>
      <c r="I261" s="1034"/>
      <c r="J261" s="76"/>
    </row>
    <row r="262" spans="1:10" ht="20.100000000000001" customHeight="1">
      <c r="A262" s="79"/>
      <c r="B262" s="927" t="s">
        <v>339</v>
      </c>
      <c r="C262" s="927"/>
      <c r="D262" s="927"/>
      <c r="E262" s="1034" t="s">
        <v>340</v>
      </c>
      <c r="F262" s="1034"/>
      <c r="G262" s="1034"/>
      <c r="H262" s="1034"/>
      <c r="I262" s="1034"/>
      <c r="J262" s="93"/>
    </row>
    <row r="263" spans="1:10" ht="20.100000000000001" customHeight="1">
      <c r="A263" s="79"/>
      <c r="B263" s="954" t="s">
        <v>341</v>
      </c>
      <c r="C263" s="954"/>
      <c r="D263" s="954"/>
      <c r="E263" s="1035" t="s">
        <v>342</v>
      </c>
      <c r="F263" s="1035"/>
      <c r="G263" s="1035"/>
      <c r="H263" s="1035"/>
      <c r="I263" s="1035"/>
      <c r="J263" s="76"/>
    </row>
    <row r="264" spans="1:10" ht="20.100000000000001" customHeight="1">
      <c r="A264" s="79"/>
      <c r="B264" s="954" t="s">
        <v>343</v>
      </c>
      <c r="C264" s="954"/>
      <c r="D264" s="954"/>
      <c r="E264" s="1034" t="s">
        <v>365</v>
      </c>
      <c r="F264" s="1034"/>
      <c r="G264" s="1034"/>
      <c r="H264" s="1034"/>
      <c r="I264" s="1034"/>
      <c r="J264" s="76"/>
    </row>
    <row r="265" spans="1:10" ht="20.100000000000001" customHeight="1">
      <c r="A265" s="79"/>
      <c r="B265" s="954" t="s">
        <v>344</v>
      </c>
      <c r="C265" s="954"/>
      <c r="D265" s="954"/>
      <c r="E265" s="1034" t="s">
        <v>366</v>
      </c>
      <c r="F265" s="1034"/>
      <c r="G265" s="1034"/>
      <c r="H265" s="1034"/>
      <c r="I265" s="1034"/>
      <c r="J265" s="76"/>
    </row>
    <row r="266" spans="1:10" ht="20.100000000000001" customHeight="1">
      <c r="A266" s="79"/>
      <c r="B266" s="954" t="s">
        <v>345</v>
      </c>
      <c r="C266" s="954"/>
      <c r="D266" s="954"/>
      <c r="E266" s="1035" t="s">
        <v>346</v>
      </c>
      <c r="F266" s="1035"/>
      <c r="G266" s="1035"/>
      <c r="H266" s="1035"/>
      <c r="I266" s="1035"/>
      <c r="J266" s="76"/>
    </row>
    <row r="267" spans="1:10" ht="35.65" customHeight="1">
      <c r="A267" s="79"/>
      <c r="B267" s="954" t="s">
        <v>347</v>
      </c>
      <c r="C267" s="954"/>
      <c r="D267" s="954"/>
      <c r="E267" s="1035" t="s">
        <v>348</v>
      </c>
      <c r="F267" s="1035"/>
      <c r="G267" s="1035"/>
      <c r="H267" s="1035"/>
      <c r="I267" s="1035"/>
      <c r="J267" s="76"/>
    </row>
    <row r="268" spans="1:10" ht="18" customHeight="1">
      <c r="A268" s="79"/>
      <c r="B268" s="954" t="s">
        <v>349</v>
      </c>
      <c r="C268" s="954"/>
      <c r="D268" s="954"/>
      <c r="E268" s="1034" t="s">
        <v>367</v>
      </c>
      <c r="F268" s="1034"/>
      <c r="G268" s="1034"/>
      <c r="H268" s="1034"/>
      <c r="I268" s="1034"/>
      <c r="J268" s="76"/>
    </row>
    <row r="269" spans="1:10" ht="18" customHeight="1">
      <c r="A269" s="79"/>
      <c r="B269" s="954" t="s">
        <v>350</v>
      </c>
      <c r="C269" s="954"/>
      <c r="D269" s="954"/>
      <c r="E269" s="1034" t="s">
        <v>340</v>
      </c>
      <c r="F269" s="1034"/>
      <c r="G269" s="1034"/>
      <c r="H269" s="1034"/>
      <c r="I269" s="1034"/>
      <c r="J269" s="76"/>
    </row>
    <row r="270" spans="1:10" ht="18" customHeight="1">
      <c r="A270" s="79"/>
      <c r="B270" s="954" t="s">
        <v>351</v>
      </c>
      <c r="C270" s="954"/>
      <c r="D270" s="954"/>
      <c r="E270" s="1034" t="s">
        <v>340</v>
      </c>
      <c r="F270" s="1034"/>
      <c r="G270" s="1034"/>
      <c r="H270" s="1034"/>
      <c r="I270" s="1034"/>
      <c r="J270" s="76"/>
    </row>
    <row r="271" spans="1:10" ht="27.6" customHeight="1">
      <c r="A271" s="79"/>
      <c r="B271" s="954" t="s">
        <v>352</v>
      </c>
      <c r="C271" s="954"/>
      <c r="D271" s="954"/>
      <c r="E271" s="1034" t="s">
        <v>368</v>
      </c>
      <c r="F271" s="1034"/>
      <c r="G271" s="1034"/>
      <c r="H271" s="1034"/>
      <c r="I271" s="1034"/>
      <c r="J271" s="76"/>
    </row>
    <row r="272" spans="1:10" ht="18" customHeight="1">
      <c r="A272" s="79"/>
      <c r="B272" s="954" t="s">
        <v>353</v>
      </c>
      <c r="C272" s="954"/>
      <c r="D272" s="954"/>
      <c r="E272" s="1034" t="s">
        <v>340</v>
      </c>
      <c r="F272" s="1034"/>
      <c r="G272" s="1034"/>
      <c r="H272" s="1034"/>
      <c r="I272" s="1034"/>
      <c r="J272" s="76"/>
    </row>
    <row r="273" spans="1:11" ht="39" customHeight="1">
      <c r="A273" s="79"/>
      <c r="B273" s="954" t="s">
        <v>354</v>
      </c>
      <c r="C273" s="954"/>
      <c r="D273" s="954"/>
      <c r="E273" s="1037" t="s">
        <v>355</v>
      </c>
      <c r="F273" s="1037"/>
      <c r="G273" s="1037"/>
      <c r="H273" s="1037"/>
      <c r="I273" s="1037"/>
      <c r="J273" s="76"/>
    </row>
    <row r="274" spans="1:11" ht="51" customHeight="1">
      <c r="A274" s="79"/>
      <c r="B274" s="954" t="s">
        <v>356</v>
      </c>
      <c r="C274" s="954"/>
      <c r="D274" s="954"/>
      <c r="E274" s="1037" t="s">
        <v>499</v>
      </c>
      <c r="F274" s="1037"/>
      <c r="G274" s="1037"/>
      <c r="H274" s="1037"/>
      <c r="I274" s="1037"/>
      <c r="J274" s="76"/>
    </row>
    <row r="275" spans="1:11" ht="119.25" customHeight="1">
      <c r="A275" s="79"/>
      <c r="B275" s="954" t="s">
        <v>357</v>
      </c>
      <c r="C275" s="954"/>
      <c r="D275" s="954"/>
      <c r="E275" s="1036" t="s">
        <v>358</v>
      </c>
      <c r="F275" s="1036"/>
      <c r="G275" s="1036"/>
      <c r="H275" s="1036"/>
      <c r="I275" s="1036"/>
      <c r="J275" s="76"/>
      <c r="K275" s="10"/>
    </row>
    <row r="276" spans="1:11" ht="20.100000000000001" customHeight="1">
      <c r="A276" s="79"/>
      <c r="B276" s="954" t="s">
        <v>359</v>
      </c>
      <c r="C276" s="954"/>
      <c r="D276" s="954"/>
      <c r="E276" s="1037" t="s">
        <v>500</v>
      </c>
      <c r="F276" s="1037"/>
      <c r="G276" s="1037"/>
      <c r="H276" s="1037"/>
      <c r="I276" s="1037"/>
      <c r="J276" s="76"/>
      <c r="K276" s="2"/>
    </row>
    <row r="277" spans="1:11" ht="20.100000000000001" customHeight="1">
      <c r="A277" s="79"/>
      <c r="B277" s="954" t="s">
        <v>360</v>
      </c>
      <c r="C277" s="954"/>
      <c r="D277" s="954"/>
      <c r="E277" s="1037" t="s">
        <v>519</v>
      </c>
      <c r="F277" s="1037"/>
      <c r="G277" s="1037"/>
      <c r="H277" s="1037"/>
      <c r="I277" s="1037"/>
      <c r="J277" s="76"/>
      <c r="K277" s="2"/>
    </row>
    <row r="278" spans="1:11" ht="18.600000000000001" customHeight="1">
      <c r="A278" s="79"/>
      <c r="B278" s="954" t="s">
        <v>361</v>
      </c>
      <c r="C278" s="954"/>
      <c r="D278" s="954"/>
      <c r="E278" s="1037" t="s">
        <v>362</v>
      </c>
      <c r="F278" s="1037"/>
      <c r="G278" s="1037"/>
      <c r="H278" s="1037"/>
      <c r="I278" s="1037"/>
      <c r="J278" s="76"/>
    </row>
    <row r="279" spans="1:11" ht="18.600000000000001" customHeight="1">
      <c r="A279" s="79"/>
      <c r="B279" s="954"/>
      <c r="C279" s="954"/>
      <c r="D279" s="954"/>
      <c r="E279" s="1091" t="s">
        <v>363</v>
      </c>
      <c r="F279" s="1091"/>
      <c r="G279" s="1091"/>
      <c r="H279" s="1091"/>
      <c r="I279" s="1091"/>
      <c r="J279" s="76"/>
    </row>
    <row r="280" spans="1:11" ht="18.600000000000001" customHeight="1">
      <c r="A280" s="79"/>
      <c r="B280" s="954"/>
      <c r="C280" s="954"/>
      <c r="D280" s="954"/>
      <c r="E280" s="1091" t="s">
        <v>364</v>
      </c>
      <c r="F280" s="1091"/>
      <c r="G280" s="1091"/>
      <c r="H280" s="1091"/>
      <c r="I280" s="1091"/>
      <c r="J280" s="76"/>
    </row>
    <row r="281" spans="1:11">
      <c r="B281" t="s">
        <v>518</v>
      </c>
    </row>
    <row r="282" spans="1:11" ht="20.100000000000001" customHeight="1"/>
    <row r="283" spans="1:11">
      <c r="B283" s="1002" t="s">
        <v>502</v>
      </c>
      <c r="C283" s="1002"/>
      <c r="D283" s="1002"/>
      <c r="E283" s="1002"/>
      <c r="F283" s="1002"/>
      <c r="G283" s="1002"/>
      <c r="H283" s="1002"/>
      <c r="I283" s="1002"/>
    </row>
    <row r="284" spans="1:11">
      <c r="B284" s="954" t="s">
        <v>335</v>
      </c>
      <c r="C284" s="954"/>
      <c r="D284" s="954"/>
      <c r="E284" s="954" t="s">
        <v>336</v>
      </c>
      <c r="F284" s="954"/>
      <c r="G284" s="954"/>
      <c r="H284" s="954"/>
      <c r="I284" s="954"/>
    </row>
    <row r="285" spans="1:11">
      <c r="B285" s="954"/>
      <c r="C285" s="954"/>
      <c r="D285" s="954"/>
      <c r="E285" s="284" t="s">
        <v>503</v>
      </c>
      <c r="F285" s="954" t="s">
        <v>504</v>
      </c>
      <c r="G285" s="954"/>
      <c r="H285" s="954" t="s">
        <v>505</v>
      </c>
      <c r="I285" s="954"/>
    </row>
    <row r="286" spans="1:11" ht="68.25" customHeight="1">
      <c r="B286" s="954" t="s">
        <v>337</v>
      </c>
      <c r="C286" s="954"/>
      <c r="D286" s="954"/>
      <c r="E286" s="353" t="s">
        <v>506</v>
      </c>
      <c r="F286" s="1033" t="s">
        <v>511</v>
      </c>
      <c r="G286" s="1033"/>
      <c r="H286" s="1033" t="s">
        <v>512</v>
      </c>
      <c r="I286" s="1033"/>
    </row>
    <row r="287" spans="1:11" ht="18.75" customHeight="1">
      <c r="B287" s="954" t="s">
        <v>341</v>
      </c>
      <c r="C287" s="954"/>
      <c r="D287" s="954"/>
      <c r="E287" s="353" t="s">
        <v>506</v>
      </c>
      <c r="F287" s="1033" t="s">
        <v>513</v>
      </c>
      <c r="G287" s="1033"/>
      <c r="H287" s="1033" t="s">
        <v>515</v>
      </c>
      <c r="I287" s="1033"/>
    </row>
    <row r="288" spans="1:11" ht="18.75" customHeight="1">
      <c r="B288" s="954" t="s">
        <v>507</v>
      </c>
      <c r="C288" s="954"/>
      <c r="D288" s="954"/>
      <c r="E288" s="353" t="s">
        <v>506</v>
      </c>
      <c r="F288" s="1033" t="s">
        <v>514</v>
      </c>
      <c r="G288" s="1033"/>
      <c r="H288" s="1033" t="s">
        <v>515</v>
      </c>
      <c r="I288" s="1033"/>
    </row>
    <row r="289" spans="2:9" ht="18.75" customHeight="1">
      <c r="B289" s="954" t="s">
        <v>508</v>
      </c>
      <c r="C289" s="954"/>
      <c r="D289" s="954"/>
      <c r="E289" s="353" t="s">
        <v>506</v>
      </c>
      <c r="F289" s="1033" t="s">
        <v>510</v>
      </c>
      <c r="G289" s="1033"/>
      <c r="H289" s="1033" t="s">
        <v>515</v>
      </c>
      <c r="I289" s="1033"/>
    </row>
    <row r="290" spans="2:9" ht="27" customHeight="1">
      <c r="B290" s="954" t="s">
        <v>509</v>
      </c>
      <c r="C290" s="954"/>
      <c r="D290" s="954"/>
      <c r="E290" s="354" t="s">
        <v>510</v>
      </c>
      <c r="F290" s="1033" t="s">
        <v>515</v>
      </c>
      <c r="G290" s="1033"/>
      <c r="H290" s="1033" t="s">
        <v>516</v>
      </c>
      <c r="I290" s="1033"/>
    </row>
    <row r="291" spans="2:9">
      <c r="B291" t="s">
        <v>517</v>
      </c>
    </row>
  </sheetData>
  <sheetProtection algorithmName="SHA-512" hashValue="8L02WtNujrv6BvgEMgoWhSlG0HJBsQTtHui7GZKEBO5hbNjUFPABgZ4hkP+2RpP2uRdqwKukEdzEbnTKdxSRuQ==" saltValue="dxIbwyKoGgkZ3OqQhB314A==" spinCount="100000" sheet="1" objects="1" scenarios="1"/>
  <mergeCells count="242">
    <mergeCell ref="B73:D73"/>
    <mergeCell ref="E73:I73"/>
    <mergeCell ref="B75:D75"/>
    <mergeCell ref="E75:I75"/>
    <mergeCell ref="B72:D72"/>
    <mergeCell ref="B74:D74"/>
    <mergeCell ref="B82:D83"/>
    <mergeCell ref="G98:J98"/>
    <mergeCell ref="G97:J97"/>
    <mergeCell ref="B90:G91"/>
    <mergeCell ref="B93:J93"/>
    <mergeCell ref="G95:J95"/>
    <mergeCell ref="B76:D76"/>
    <mergeCell ref="E81:I81"/>
    <mergeCell ref="E80:I80"/>
    <mergeCell ref="E79:I79"/>
    <mergeCell ref="E78:I78"/>
    <mergeCell ref="E77:I77"/>
    <mergeCell ref="E76:I76"/>
    <mergeCell ref="B94:D94"/>
    <mergeCell ref="G94:J94"/>
    <mergeCell ref="B80:D80"/>
    <mergeCell ref="B81:D81"/>
    <mergeCell ref="E74:I74"/>
    <mergeCell ref="B44:I44"/>
    <mergeCell ref="E69:I69"/>
    <mergeCell ref="E68:I68"/>
    <mergeCell ref="E67:I67"/>
    <mergeCell ref="E71:I71"/>
    <mergeCell ref="E70:I70"/>
    <mergeCell ref="B67:D67"/>
    <mergeCell ref="B68:D68"/>
    <mergeCell ref="B69:D69"/>
    <mergeCell ref="B71:D71"/>
    <mergeCell ref="B220:I220"/>
    <mergeCell ref="D171:I171"/>
    <mergeCell ref="E201:I201"/>
    <mergeCell ref="B202:D202"/>
    <mergeCell ref="B203:D203"/>
    <mergeCell ref="E200:I200"/>
    <mergeCell ref="B95:C97"/>
    <mergeCell ref="B98:C100"/>
    <mergeCell ref="E82:I83"/>
    <mergeCell ref="G100:J100"/>
    <mergeCell ref="G96:J96"/>
    <mergeCell ref="F98:F100"/>
    <mergeCell ref="B216:I216"/>
    <mergeCell ref="E199:I199"/>
    <mergeCell ref="B106:D106"/>
    <mergeCell ref="G106:J106"/>
    <mergeCell ref="B213:I213"/>
    <mergeCell ref="B212:I212"/>
    <mergeCell ref="B199:D199"/>
    <mergeCell ref="B198:D198"/>
    <mergeCell ref="B197:I197"/>
    <mergeCell ref="E198:I198"/>
    <mergeCell ref="D132:D133"/>
    <mergeCell ref="D154:I154"/>
    <mergeCell ref="B225:I225"/>
    <mergeCell ref="B224:I224"/>
    <mergeCell ref="B240:I240"/>
    <mergeCell ref="E261:I261"/>
    <mergeCell ref="B259:I259"/>
    <mergeCell ref="B254:I258"/>
    <mergeCell ref="D245:I245"/>
    <mergeCell ref="D244:I244"/>
    <mergeCell ref="D243:I243"/>
    <mergeCell ref="D242:I242"/>
    <mergeCell ref="D241:I241"/>
    <mergeCell ref="B241:C241"/>
    <mergeCell ref="B242:C242"/>
    <mergeCell ref="B243:C243"/>
    <mergeCell ref="B226:I226"/>
    <mergeCell ref="B260:D260"/>
    <mergeCell ref="B227:I227"/>
    <mergeCell ref="E280:I280"/>
    <mergeCell ref="E279:I279"/>
    <mergeCell ref="E278:I278"/>
    <mergeCell ref="E277:I277"/>
    <mergeCell ref="E276:I276"/>
    <mergeCell ref="E272:I272"/>
    <mergeCell ref="E271:I271"/>
    <mergeCell ref="E270:I270"/>
    <mergeCell ref="E269:I269"/>
    <mergeCell ref="A2:I2"/>
    <mergeCell ref="B28:I28"/>
    <mergeCell ref="E37:I37"/>
    <mergeCell ref="E36:I36"/>
    <mergeCell ref="E35:I35"/>
    <mergeCell ref="E34:I34"/>
    <mergeCell ref="E33:I33"/>
    <mergeCell ref="E32:I32"/>
    <mergeCell ref="E31:I31"/>
    <mergeCell ref="E30:I30"/>
    <mergeCell ref="E29:I29"/>
    <mergeCell ref="B36:D36"/>
    <mergeCell ref="B37:D37"/>
    <mergeCell ref="B31:D31"/>
    <mergeCell ref="B33:D33"/>
    <mergeCell ref="B29:D29"/>
    <mergeCell ref="B34:D34"/>
    <mergeCell ref="B35:D35"/>
    <mergeCell ref="B30:D30"/>
    <mergeCell ref="B32:D32"/>
    <mergeCell ref="A5:I16"/>
    <mergeCell ref="B17:I18"/>
    <mergeCell ref="E72:I72"/>
    <mergeCell ref="B66:I66"/>
    <mergeCell ref="B288:D288"/>
    <mergeCell ref="B289:D289"/>
    <mergeCell ref="B290:D290"/>
    <mergeCell ref="B284:D285"/>
    <mergeCell ref="F290:G290"/>
    <mergeCell ref="H290:I290"/>
    <mergeCell ref="G108:J108"/>
    <mergeCell ref="B124:I124"/>
    <mergeCell ref="G131:I131"/>
    <mergeCell ref="D119:I119"/>
    <mergeCell ref="D118:I118"/>
    <mergeCell ref="G128:I128"/>
    <mergeCell ref="G127:I127"/>
    <mergeCell ref="B125:I125"/>
    <mergeCell ref="G126:I126"/>
    <mergeCell ref="B126:D126"/>
    <mergeCell ref="B107:C108"/>
    <mergeCell ref="D121:I121"/>
    <mergeCell ref="G102:J103"/>
    <mergeCell ref="B261:D261"/>
    <mergeCell ref="H285:I285"/>
    <mergeCell ref="F285:G285"/>
    <mergeCell ref="E202:I202"/>
    <mergeCell ref="D174:I174"/>
    <mergeCell ref="D173:I173"/>
    <mergeCell ref="D172:I172"/>
    <mergeCell ref="E284:I284"/>
    <mergeCell ref="F286:G286"/>
    <mergeCell ref="F287:G287"/>
    <mergeCell ref="F288:G288"/>
    <mergeCell ref="F289:G289"/>
    <mergeCell ref="H286:I286"/>
    <mergeCell ref="H287:I287"/>
    <mergeCell ref="H288:I288"/>
    <mergeCell ref="H289:I289"/>
    <mergeCell ref="E268:I268"/>
    <mergeCell ref="E267:I267"/>
    <mergeCell ref="E266:I266"/>
    <mergeCell ref="E265:I265"/>
    <mergeCell ref="E264:I264"/>
    <mergeCell ref="E275:I275"/>
    <mergeCell ref="E274:I274"/>
    <mergeCell ref="E273:I273"/>
    <mergeCell ref="E260:I260"/>
    <mergeCell ref="E263:I263"/>
    <mergeCell ref="E262:I262"/>
    <mergeCell ref="G133:I133"/>
    <mergeCell ref="G132:I132"/>
    <mergeCell ref="B146:I146"/>
    <mergeCell ref="B150:I150"/>
    <mergeCell ref="B283:I283"/>
    <mergeCell ref="G99:J99"/>
    <mergeCell ref="B286:D286"/>
    <mergeCell ref="B287:D287"/>
    <mergeCell ref="B134:C134"/>
    <mergeCell ref="B114:J114"/>
    <mergeCell ref="B122:C122"/>
    <mergeCell ref="B119:C119"/>
    <mergeCell ref="B120:C120"/>
    <mergeCell ref="B121:C121"/>
    <mergeCell ref="B127:C133"/>
    <mergeCell ref="G105:J105"/>
    <mergeCell ref="B152:C152"/>
    <mergeCell ref="B145:I145"/>
    <mergeCell ref="B144:I144"/>
    <mergeCell ref="B143:I143"/>
    <mergeCell ref="B142:I142"/>
    <mergeCell ref="B169:I169"/>
    <mergeCell ref="E204:I204"/>
    <mergeCell ref="E203:I203"/>
    <mergeCell ref="G107:J107"/>
    <mergeCell ref="G130:I130"/>
    <mergeCell ref="B135:C135"/>
    <mergeCell ref="B105:D105"/>
    <mergeCell ref="B117:I117"/>
    <mergeCell ref="B173:C173"/>
    <mergeCell ref="B174:C174"/>
    <mergeCell ref="B101:C103"/>
    <mergeCell ref="E102:E103"/>
    <mergeCell ref="F102:F103"/>
    <mergeCell ref="G104:J104"/>
    <mergeCell ref="G101:J101"/>
    <mergeCell ref="G129:I129"/>
    <mergeCell ref="D122:I122"/>
    <mergeCell ref="B153:C153"/>
    <mergeCell ref="B172:C172"/>
    <mergeCell ref="B154:C154"/>
    <mergeCell ref="B171:C171"/>
    <mergeCell ref="D170:I170"/>
    <mergeCell ref="D153:I153"/>
    <mergeCell ref="D152:I152"/>
    <mergeCell ref="D151:I151"/>
    <mergeCell ref="G135:I135"/>
    <mergeCell ref="G134:I134"/>
    <mergeCell ref="B278:D280"/>
    <mergeCell ref="B277:D277"/>
    <mergeCell ref="B276:D276"/>
    <mergeCell ref="B275:D275"/>
    <mergeCell ref="B273:D273"/>
    <mergeCell ref="B274:D274"/>
    <mergeCell ref="B263:D263"/>
    <mergeCell ref="B272:D272"/>
    <mergeCell ref="B271:D271"/>
    <mergeCell ref="B270:D270"/>
    <mergeCell ref="B269:D269"/>
    <mergeCell ref="B268:D268"/>
    <mergeCell ref="B267:D267"/>
    <mergeCell ref="B266:D266"/>
    <mergeCell ref="B265:D265"/>
    <mergeCell ref="B264:D264"/>
    <mergeCell ref="B262:D262"/>
    <mergeCell ref="B70:D70"/>
    <mergeCell ref="B200:D200"/>
    <mergeCell ref="B201:D201"/>
    <mergeCell ref="B204:D204"/>
    <mergeCell ref="B214:I214"/>
    <mergeCell ref="B211:I211"/>
    <mergeCell ref="B208:I208"/>
    <mergeCell ref="B209:I209"/>
    <mergeCell ref="B221:I221"/>
    <mergeCell ref="B222:I222"/>
    <mergeCell ref="B223:I223"/>
    <mergeCell ref="B77:D77"/>
    <mergeCell ref="B79:D79"/>
    <mergeCell ref="B78:D78"/>
    <mergeCell ref="B151:C151"/>
    <mergeCell ref="B118:C118"/>
    <mergeCell ref="B104:D104"/>
    <mergeCell ref="B244:C244"/>
    <mergeCell ref="B215:G215"/>
    <mergeCell ref="B170:C170"/>
    <mergeCell ref="B245:C245"/>
    <mergeCell ref="D120:I120"/>
    <mergeCell ref="B210:I210"/>
  </mergeCells>
  <phoneticPr fontId="1"/>
  <pageMargins left="0.7" right="0.7" top="0.75" bottom="0.75" header="0.3" footer="0.3"/>
  <pageSetup paperSize="9" scale="73" fitToHeight="0" orientation="portrait" r:id="rId1"/>
  <headerFooter>
    <oddFooter>&amp;C&amp;P</oddFooter>
  </headerFooter>
  <rowBreaks count="6" manualBreakCount="6">
    <brk id="44" max="9" man="1"/>
    <brk id="92" max="9" man="1"/>
    <brk id="111" max="9" man="1"/>
    <brk id="155" max="9" man="1"/>
    <brk id="205" max="9" man="1"/>
    <brk id="25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表計算ツール入力例</vt:lpstr>
      <vt:lpstr>表計算ツール（平屋建て）</vt:lpstr>
      <vt:lpstr>表計算ツール（2階建て）</vt:lpstr>
      <vt:lpstr>更新履歴</vt:lpstr>
      <vt:lpstr>柱の圧縮基準強度</vt:lpstr>
      <vt:lpstr>表計算ツールの解説・注意事項</vt:lpstr>
      <vt:lpstr>JASA種構造用単板積層材</vt:lpstr>
      <vt:lpstr>JAS機械等級区分構造用製材</vt:lpstr>
      <vt:lpstr>JAS同一等級構成集成材</vt:lpstr>
      <vt:lpstr>JAS目視等級区分構造用製材</vt:lpstr>
      <vt:lpstr>LVL</vt:lpstr>
      <vt:lpstr>'表計算ツール（2階建て）'!Print_Area</vt:lpstr>
      <vt:lpstr>'表計算ツール（平屋建て）'!Print_Area</vt:lpstr>
      <vt:lpstr>表計算ツールの解説・注意事項!Print_Area</vt:lpstr>
      <vt:lpstr>表計算ツール入力例!Print_Area</vt:lpstr>
      <vt:lpstr>機械</vt:lpstr>
      <vt:lpstr>集成材</vt:lpstr>
      <vt:lpstr>無等級</vt:lpstr>
      <vt:lpstr>無等級材</vt:lpstr>
      <vt:lpstr>目視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user-003</dc:creator>
  <cp:lastModifiedBy>tamura-y</cp:lastModifiedBy>
  <cp:lastPrinted>2024-10-23T09:46:27Z</cp:lastPrinted>
  <dcterms:created xsi:type="dcterms:W3CDTF">2015-06-05T18:19:34Z</dcterms:created>
  <dcterms:modified xsi:type="dcterms:W3CDTF">2025-03-19T03:23:35Z</dcterms:modified>
</cp:coreProperties>
</file>